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6a5e613bd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診断" sheetId="1" r:id="Rb2dc3f9b935742e2"/>
    <x:sheet xmlns:r="http://schemas.openxmlformats.org/officeDocument/2006/relationships" name="年次推移" sheetId="2" r:id="R93cf09cf88e14067"/>
    <x:sheet xmlns:r="http://schemas.openxmlformats.org/officeDocument/2006/relationships" name="根拠・注意" sheetId="3" r:id="R0c8437975c324eae"/>
  </x:sheets>
</x:workbook>
</file>

<file path=xl/comments1.xml><?xml version="1.0" encoding="utf-8"?>
<x:comments xmlns:x="http://schemas.openxmlformats.org/spreadsheetml/2006/main">
  <x:authors>
    <x:author>tc={38AAFEDD-6EF9-4912-9976-A15F5188D5BC}</x:author>
    <x:author>tc={B629D5A6-3B08-4EA7-9429-E8B3F895B281}</x:author>
    <x:author>tc={2F29D9A6-03BE-4EE6-9913-E59B845AE46E}</x:author>
  </x:authors>
  <x:commentList>
    <x:comment ref="C1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年間家賃下落率は将来予測ではなく、比較用の仮定です。</x:t>
        </x:r>
      </x:text>
    </x:comment>
    <x:comment ref="C24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仲介手数料等を含む概算率です。実際の見積書へ差し替えてください。</x:t>
        </x:r>
      </x:text>
    </x:comment>
    <x:comment ref="H13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税引前最終損益＝売却後手取り＋累積CF－購入時自己資金。税効果と譲渡所得税は本試作では含めていません。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&quot;円&quot;;[Red]-#,##0&quot;円&quot;;－"/>
    <x:numFmt numFmtId="201" formatCode="0.0%;[Red]-0.0%;－"/>
    <x:numFmt numFmtId="202" formatCode="#,##0;[Red]-#,##0;－"/>
    <x:numFmt numFmtId="203" formatCode="yyyy-mm-dd"/>
    <x:numFmt numFmtId="204" formatCode="@"/>
  </x:numFmts>
  <x:fonts count="40">
    <x:font>
      <x:sz val="11"/>
      <x:name val="Carlito"/>
    </x:font>
    <x:font>
      <x:b/>
      <x:sz val="22"/>
      <x:color rgb="FF172B4D"/>
      <x:name val="Carlito"/>
    </x:font>
    <x:font>
      <x:b/>
      <x:sz val="18"/>
      <x:color rgb="FFFFFFFF"/>
      <x:name val="Carlito"/>
    </x:font>
    <x:font>
      <x:i/>
      <x:sz val="10"/>
      <x:color rgb="FF172B4D"/>
      <x:name val="Carlito"/>
    </x:font>
    <x:font>
      <x:b/>
      <x:sz val="11"/>
      <x:color rgb="FFFFFFFF"/>
      <x:name val="Carlito"/>
    </x:font>
    <x:font>
      <x:b/>
      <x:sz val="11"/>
      <x:color rgb="FF0000FF"/>
      <x:name val="Carlito"/>
    </x:font>
    <x:font>
      <x:sz val="11"/>
      <x:color rgb="FF172B4D"/>
      <x:name val="Carlito"/>
    </x:font>
    <x:font>
      <x:sz val="11"/>
      <x:color rgb="FF5E6C84"/>
      <x:name val="Carlito"/>
    </x:font>
    <x:font>
      <x:b/>
      <x:sz val="10"/>
      <x:color rgb="FFC62828"/>
      <x:name val="Carlito"/>
    </x:font>
    <x:font>
      <x:b/>
      <x:sz val="16"/>
      <x:color rgb="FFC62828"/>
      <x:name val="Carlito"/>
    </x:font>
    <x:font>
      <x:b/>
      <x:sz val="10"/>
      <x:color rgb="FF172B4D"/>
      <x:name val="Carlito"/>
    </x:font>
    <x:font>
      <x:b/>
      <x:sz val="16"/>
      <x:color rgb="FF172B4D"/>
      <x:name val="Carlito"/>
    </x:font>
    <x:font>
      <x:b/>
      <x:sz val="11"/>
      <x:color rgb="FF172B4D"/>
      <x:name val="Carlito"/>
    </x:font>
    <x:font>
      <x:b/>
      <x:sz val="11"/>
      <x:color rgb="FFC62828"/>
      <x:name val="Carlito"/>
    </x:font>
    <x:font>
      <x:b/>
      <x:sz val="22"/>
      <x:color rgb="FF172B4D"/>
      <x:name val="Aptos"/>
    </x:font>
    <x:font>
      <x:b/>
      <x:sz val="18"/>
      <x:color rgb="FFFFFFFF"/>
      <x:name val="Aptos"/>
    </x:font>
    <x:font>
      <x:i/>
      <x:sz val="10"/>
      <x:color rgb="FF172B4D"/>
      <x:name val="Aptos"/>
    </x:font>
    <x:font>
      <x:sz val="11"/>
      <x:name val="Aptos"/>
    </x:font>
    <x:font>
      <x:b/>
      <x:sz val="11"/>
      <x:color rgb="FFFFFFFF"/>
      <x:name val="Aptos"/>
    </x:font>
    <x:font>
      <x:b/>
      <x:sz val="10"/>
      <x:color rgb="FFC62828"/>
      <x:name val="Aptos"/>
    </x:font>
    <x:font>
      <x:b/>
      <x:sz val="10"/>
      <x:color rgb="FF172B4D"/>
      <x:name val="Aptos"/>
    </x:font>
    <x:font>
      <x:sz val="11"/>
      <x:color rgb="FF172B4D"/>
      <x:name val="Aptos"/>
    </x:font>
    <x:font>
      <x:b/>
      <x:sz val="11"/>
      <x:color rgb="FF0000FF"/>
      <x:name val="Aptos"/>
    </x:font>
    <x:font>
      <x:sz val="11"/>
      <x:color rgb="FF5E6C84"/>
      <x:name val="Aptos"/>
    </x:font>
    <x:font>
      <x:b/>
      <x:sz val="16"/>
      <x:color rgb="FFC62828"/>
      <x:name val="Aptos"/>
    </x:font>
    <x:font>
      <x:b/>
      <x:sz val="16"/>
      <x:color rgb="FF172B4D"/>
      <x:name val="Aptos"/>
    </x:font>
    <x:font>
      <x:b/>
      <x:sz val="11"/>
      <x:color rgb="FF172B4D"/>
      <x:name val="Aptos"/>
    </x:font>
    <x:font>
      <x:b/>
      <x:sz val="11"/>
      <x:color rgb="FFC62828"/>
      <x:name val="Aptos"/>
    </x:font>
    <x:font>
      <x:b/>
      <x:sz val="9"/>
      <x:color rgb="FFFFFFFF"/>
      <x:name val="Carlito"/>
    </x:font>
    <x:font>
      <x:b/>
      <x:sz val="11"/>
      <x:color rgb="FF5E6C84"/>
      <x:name val="Carlito"/>
    </x:font>
    <x:font>
      <x:sz val="9"/>
      <x:color rgb="FF172B4D"/>
      <x:name val="Carlito"/>
    </x:font>
    <x:font>
      <x:b/>
      <x:sz val="9"/>
      <x:color rgb="FFFFFFFF"/>
      <x:name val="Aptos"/>
    </x:font>
    <x:font>
      <x:sz val="9"/>
      <x:color rgb="FF172B4D"/>
      <x:name val="Aptos"/>
    </x:font>
    <x:font>
      <x:b/>
      <x:sz val="11"/>
      <x:color rgb="FF5E6C84"/>
      <x:name val="Aptos"/>
    </x:font>
    <x:font>
      <x:sz val="11"/>
      <x:color rgb="FFFF0000"/>
      <x:name val="Carlito"/>
    </x:font>
    <x:font>
      <x:sz val="11"/>
      <x:color rgb="FFFF0000"/>
      <x:name val="Aptos"/>
    </x:font>
    <x:font>
      <x:b/>
      <x:sz val="8"/>
      <x:color rgb="FFFFFFFF"/>
      <x:name val="Aptos"/>
    </x:font>
    <x:font>
      <x:b/>
      <x:sz val="10"/>
      <x:color rgb="FF14866D"/>
      <x:name val="Aptos"/>
    </x:font>
    <x:font>
      <x:b/>
      <x:sz val="8"/>
      <x:color rgb="FFFFFFFF"/>
      <x:name val="Carlito"/>
    </x:font>
    <x:font>
      <x:i/>
      <x:sz val="11"/>
      <x:color rgb="FF172B4D"/>
      <x:name val="Aptos"/>
    </x:font>
  </x:fonts>
  <x:fills count="24">
    <x:fill>
      <x:patternFill patternType="none"/>
    </x:fill>
    <x:fill>
      <x:patternFill patternType="gray125"/>
    </x:fill>
    <x:fill>
      <x:patternFill patternType="solid">
        <x:fgColor rgb="FFF2C744"/>
      </x:patternFill>
    </x:fill>
    <x:fill>
      <x:patternFill patternType="solid">
        <x:fgColor rgb="FF172B4D"/>
      </x:patternFill>
    </x:fill>
    <x:fill>
      <x:patternFill patternType="solid">
        <x:fgColor rgb="FFEAF2F8"/>
      </x:patternFill>
    </x:fill>
    <x:fill>
      <x:patternFill patternType="solid">
        <x:fgColor rgb="FF1F5A85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  <x:fill>
      <x:patternFill patternType="solid">
        <x:fgColor rgb="FFF5F7FA"/>
      </x:patternFill>
    </x:fill>
    <x:fill>
      <x:patternFill patternType="solid">
        <x:fgColor rgb="FFFDECEC"/>
      </x:patternFill>
    </x:fill>
    <x:fill>
      <x:patternFill patternType="solid">
        <x:fgColor rgb="FFE8F5F1"/>
      </x:patternFill>
    </x:fill>
    <x:fill>
      <x:patternFill patternType="solid">
        <x:fgColor rgb="FFFFF7D6"/>
      </x:patternFill>
    </x:fill>
    <x:fill>
      <x:patternFill patternType="solid">
        <x:fgColor rgb="FF172B4D"/>
      </x:patternFill>
    </x:fill>
    <x:fill>
      <x:patternFill patternType="solid">
        <x:fgColor rgb="FF1F5A85"/>
      </x:patternFill>
    </x:fill>
    <x:fill>
      <x:patternFill patternType="solid">
        <x:fgColor rgb="FFFFFFFF"/>
      </x:patternFill>
    </x:fill>
    <x:fill>
      <x:patternFill patternType="solid">
        <x:fgColor rgb="FFF5F7FA"/>
      </x:patternFill>
    </x:fill>
    <x:fill>
      <x:patternFill patternType="solid">
        <x:fgColor rgb="FFEAF2F8"/>
      </x:patternFill>
    </x:fill>
    <x:fill>
      <x:patternFill patternType="solid">
        <x:fgColor rgb="FFFDECEC"/>
      </x:patternFill>
    </x:fill>
    <x:fill>
      <x:patternFill patternType="solid">
        <x:fgColor rgb="FF172B4D"/>
      </x:patternFill>
    </x:fill>
    <x:fill>
      <x:patternFill patternType="solid">
        <x:fgColor rgb="FFE8F5F1"/>
      </x:patternFill>
    </x:fill>
    <x:fill>
      <x:patternFill patternType="solid">
        <x:fgColor rgb="FFFFFFFF"/>
      </x:patternFill>
    </x:fill>
    <x:fill>
      <x:patternFill patternType="solid">
        <x:fgColor rgb="FFFDECEC"/>
      </x:patternFill>
    </x:fill>
    <x:fill>
      <x:patternFill patternType="solid">
        <x:fgColor rgb="FFFFF7D6"/>
      </x:patternFill>
    </x:fill>
    <x:fill>
      <x:patternFill patternType="solid">
        <x:fgColor rgb="FFEAF2F8"/>
      </x:patternFill>
    </x:fill>
  </x:fills>
  <x:borders count="35">
    <x:border/>
    <x:border>
      <x:left style="thin">
        <x:color rgb="FFF2C744"/>
      </x:left>
      <x:right style="thin">
        <x:color rgb="FFF2C744"/>
      </x:right>
      <x:top style="thin">
        <x:color rgb="FFF2C744"/>
      </x:top>
    </x:border>
    <x:border>
      <x:left style="thin">
        <x:color rgb="FFF2C744"/>
      </x:left>
      <x:right style="thin">
        <x:color rgb="FFF2C744"/>
      </x:right>
    </x:border>
    <x:border>
      <x:left style="thin">
        <x:color rgb="FFF2C744"/>
      </x:left>
      <x:right style="thin">
        <x:color rgb="FFF2C744"/>
      </x:right>
      <x:bottom style="thin">
        <x:color rgb="FFF2C744"/>
      </x:bottom>
    </x:border>
    <x:border>
      <x:left style="thin">
        <x:color rgb="FFD7DEE8"/>
      </x:left>
      <x:top style="thin">
        <x:color rgb="FFD7DEE8"/>
      </x:top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</x:border>
    <x:border>
      <x:right style="thin">
        <x:color rgb="FFD7DEE8"/>
      </x:right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top style="thin">
        <x:color rgb="FFD7DEE8"/>
      </x:top>
    </x:border>
    <x:border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F2C744"/>
      </x:left>
      <x:top style="thin">
        <x:color rgb="FFF2C744"/>
      </x:top>
    </x:border>
    <x:border>
      <x:top style="thin">
        <x:color rgb="FFF2C744"/>
      </x:top>
    </x:border>
    <x:border>
      <x:right style="thin">
        <x:color rgb="FFF2C744"/>
      </x:right>
      <x:top style="thin">
        <x:color rgb="FFF2C744"/>
      </x:top>
    </x:border>
    <x:border>
      <x:left style="thin">
        <x:color rgb="FFF2C744"/>
      </x:left>
    </x:border>
    <x:border>
      <x:right style="thin">
        <x:color rgb="FFF2C744"/>
      </x:right>
    </x:border>
    <x:border>
      <x:left style="thin">
        <x:color rgb="FFF2C744"/>
      </x:left>
      <x:bottom style="thin">
        <x:color rgb="FFF2C744"/>
      </x:bottom>
    </x:border>
    <x:border>
      <x:bottom style="thin">
        <x:color rgb="FFF2C744"/>
      </x:bottom>
    </x:border>
    <x:border>
      <x:right style="thin">
        <x:color rgb="FFF2C744"/>
      </x:right>
      <x:bottom style="thin">
        <x:color rgb="FFF2C744"/>
      </x:bottom>
    </x:border>
    <x:border>
      <x:left style="thin">
        <x:color rgb="FFC62828"/>
      </x:left>
      <x:top style="thin">
        <x:color rgb="FFC62828"/>
      </x:top>
    </x:border>
    <x:border>
      <x:top style="thin">
        <x:color rgb="FFC62828"/>
      </x:top>
    </x:border>
    <x:border>
      <x:right style="thin">
        <x:color rgb="FFC62828"/>
      </x:right>
      <x:top style="thin">
        <x:color rgb="FFC62828"/>
      </x:top>
    </x:border>
    <x:border>
      <x:left style="thin">
        <x:color rgb="FFC62828"/>
      </x:left>
      <x:bottom style="thin">
        <x:color rgb="FFC62828"/>
      </x:bottom>
    </x:border>
    <x:border>
      <x:bottom style="thin">
        <x:color rgb="FFC62828"/>
      </x:bottom>
    </x:border>
    <x:border>
      <x:right style="thin">
        <x:color rgb="FFC62828"/>
      </x:right>
      <x:bottom style="thin">
        <x:color rgb="FFC62828"/>
      </x:bottom>
    </x:border>
    <x:border>
      <x:left style="thin">
        <x:color rgb="FFF2C744"/>
      </x:left>
      <x:top style="thin">
        <x:color rgb="FFF2C744"/>
      </x:top>
      <x:bottom style="thin">
        <x:color rgb="FFF2C744"/>
      </x:bottom>
    </x:border>
    <x:border>
      <x:right style="thin">
        <x:color rgb="FFF2C744"/>
      </x:right>
      <x:top style="thin">
        <x:color rgb="FFF2C744"/>
      </x:top>
      <x:bottom style="thin">
        <x:color rgb="FFF2C744"/>
      </x:bottom>
    </x:border>
    <x:border>
      <x:left style="thin">
        <x:color rgb="FFC62828"/>
      </x:left>
    </x:border>
    <x:border>
      <x:right style="thin">
        <x:color rgb="FFC62828"/>
      </x:right>
    </x:border>
    <x:border>
      <x:top style="thin">
        <x:color rgb="FFF2C744"/>
      </x:top>
      <x:bottom style="thin">
        <x:color rgb="FFF2C744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</x:borders>
  <x:cellStyleXfs count="1">
    <x:xf numFmtId="0" fontId="0" fillId="0" borderId="0"/>
  </x:cellStyleXfs>
  <x:cellXfs count="5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1" xfId="0" applyNumberFormat="1" applyFont="1" applyFill="1" applyBorder="1" applyAlignment="1">
      <x:alignment horizontal="right"/>
    </x:xf>
    <x:xf numFmtId="0" fontId="5" fillId="6" borderId="2" xfId="0" applyNumberFormat="1" applyFont="1" applyFill="1" applyBorder="1" applyAlignment="1">
      <x:alignment horizontal="right"/>
    </x:xf>
    <x:xf numFmtId="0" fontId="5" fillId="6" borderId="3" xfId="0" applyNumberFormat="1" applyFont="1" applyFill="1" applyBorder="1" applyAlignment="1">
      <x:alignment horizontal="right"/>
    </x:xf>
    <x:xf numFmtId="200" fontId="5" fillId="6" borderId="1" xfId="0" applyNumberFormat="1" applyFont="1" applyFill="1" applyBorder="1" applyAlignment="1">
      <x:alignment horizontal="right"/>
    </x:xf>
    <x:xf numFmtId="200" fontId="5" fillId="6" borderId="2" xfId="0" applyNumberFormat="1" applyFont="1" applyFill="1" applyBorder="1" applyAlignment="1">
      <x:alignment horizontal="right"/>
    </x:xf>
    <x:xf numFmtId="201" fontId="5" fillId="6" borderId="2" xfId="0" applyNumberFormat="1" applyFont="1" applyFill="1" applyBorder="1" applyAlignment="1">
      <x:alignment horizontal="right"/>
    </x:xf>
    <x:xf numFmtId="202" fontId="5" fillId="6" borderId="2" xfId="0" applyNumberFormat="1" applyFont="1" applyFill="1" applyBorder="1" applyAlignment="1">
      <x:alignment horizontal="right"/>
    </x:xf>
    <x:xf numFmtId="202" fontId="5" fillId="6" borderId="3" xfId="0" applyNumberFormat="1" applyFont="1" applyFill="1" applyBorder="1" applyAlignment="1">
      <x:alignment horizontal="right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201" fontId="5" fillId="6" borderId="1" xfId="0" applyNumberFormat="1" applyFont="1" applyFill="1" applyBorder="1" applyAlignment="1">
      <x:alignment horizontal="right"/>
    </x:xf>
    <x:xf numFmtId="200" fontId="5" fillId="6" borderId="3" xfId="0" applyNumberFormat="1" applyFont="1" applyFill="1" applyBorder="1" applyAlignment="1">
      <x:alignment horizontal="right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8" fillId="9" borderId="0" xfId="0" applyNumberFormat="1" applyFont="1" applyFill="1" applyBorder="1" applyAlignment="1">
      <x:alignment horizontal="center" vertical="center"/>
    </x:xf>
    <x:xf numFmtId="0" fontId="9" fillId="7" borderId="0" xfId="0" applyNumberFormat="1" applyFont="1" applyFill="1" applyBorder="1"/>
    <x:xf numFmtId="0" fontId="9" fillId="7" borderId="4" xfId="0" applyNumberFormat="1" applyFont="1" applyFill="1" applyBorder="1"/>
    <x:xf numFmtId="0" fontId="9" fillId="7" borderId="5" xfId="0" applyNumberFormat="1" applyFont="1" applyFill="1" applyBorder="1"/>
    <x:xf numFmtId="0" fontId="9" fillId="7" borderId="6" xfId="0" applyNumberFormat="1" applyFont="1" applyFill="1" applyBorder="1"/>
    <x:xf numFmtId="0" fontId="9" fillId="7" borderId="7" xfId="0" applyNumberFormat="1" applyFont="1" applyFill="1" applyBorder="1"/>
    <x:xf numFmtId="0" fontId="9" fillId="7" borderId="8" xfId="0" applyNumberFormat="1" applyFont="1" applyFill="1" applyBorder="1"/>
    <x:xf numFmtId="0" fontId="9" fillId="7" borderId="9" xfId="0" applyNumberFormat="1" applyFont="1" applyFill="1" applyBorder="1"/>
    <x:xf numFmtId="200" fontId="9" fillId="7" borderId="4" xfId="0" applyNumberFormat="1" applyFont="1" applyFill="1" applyBorder="1"/>
    <x:xf numFmtId="200" fontId="9" fillId="7" borderId="5" xfId="0" applyNumberFormat="1" applyFont="1" applyFill="1" applyBorder="1"/>
    <x:xf numFmtId="200" fontId="9" fillId="7" borderId="6" xfId="0" applyNumberFormat="1" applyFont="1" applyFill="1" applyBorder="1"/>
    <x:xf numFmtId="200" fontId="9" fillId="7" borderId="7" xfId="0" applyNumberFormat="1" applyFont="1" applyFill="1" applyBorder="1"/>
    <x:xf numFmtId="200" fontId="9" fillId="7" borderId="8" xfId="0" applyNumberFormat="1" applyFont="1" applyFill="1" applyBorder="1"/>
    <x:xf numFmtId="200" fontId="9" fillId="7" borderId="9" xfId="0" applyNumberFormat="1" applyFont="1" applyFill="1" applyBorder="1"/>
    <x:xf numFmtId="200" fontId="9" fillId="7" borderId="4" xfId="0" applyNumberFormat="1" applyFont="1" applyFill="1" applyBorder="1" applyAlignment="1">
      <x:alignment horizontal="center"/>
    </x:xf>
    <x:xf numFmtId="200" fontId="9" fillId="7" borderId="5" xfId="0" applyNumberFormat="1" applyFont="1" applyFill="1" applyBorder="1" applyAlignment="1">
      <x:alignment horizontal="center"/>
    </x:xf>
    <x:xf numFmtId="200" fontId="9" fillId="7" borderId="6" xfId="0" applyNumberFormat="1" applyFont="1" applyFill="1" applyBorder="1" applyAlignment="1">
      <x:alignment horizontal="center"/>
    </x:xf>
    <x:xf numFmtId="200" fontId="9" fillId="7" borderId="7" xfId="0" applyNumberFormat="1" applyFont="1" applyFill="1" applyBorder="1" applyAlignment="1">
      <x:alignment horizontal="center"/>
    </x:xf>
    <x:xf numFmtId="200" fontId="9" fillId="7" borderId="8" xfId="0" applyNumberFormat="1" applyFont="1" applyFill="1" applyBorder="1" applyAlignment="1">
      <x:alignment horizontal="center"/>
    </x:xf>
    <x:xf numFmtId="200" fontId="9" fillId="7" borderId="9" xfId="0" applyNumberFormat="1" applyFont="1" applyFill="1" applyBorder="1" applyAlignment="1">
      <x:alignment horizontal="center"/>
    </x:xf>
    <x:xf numFmtId="200" fontId="9" fillId="7" borderId="4" xfId="0" applyNumberFormat="1" applyFont="1" applyFill="1" applyBorder="1" applyAlignment="1">
      <x:alignment horizontal="center" vertical="center"/>
    </x:xf>
    <x:xf numFmtId="200" fontId="9" fillId="7" borderId="5" xfId="0" applyNumberFormat="1" applyFont="1" applyFill="1" applyBorder="1" applyAlignment="1">
      <x:alignment horizontal="center" vertical="center"/>
    </x:xf>
    <x:xf numFmtId="200" fontId="9" fillId="7" borderId="6" xfId="0" applyNumberFormat="1" applyFont="1" applyFill="1" applyBorder="1" applyAlignment="1">
      <x:alignment horizontal="center" vertical="center"/>
    </x:xf>
    <x:xf numFmtId="200" fontId="9" fillId="7" borderId="7" xfId="0" applyNumberFormat="1" applyFont="1" applyFill="1" applyBorder="1" applyAlignment="1">
      <x:alignment horizontal="center" vertical="center"/>
    </x:xf>
    <x:xf numFmtId="200" fontId="9" fillId="7" borderId="8" xfId="0" applyNumberFormat="1" applyFont="1" applyFill="1" applyBorder="1" applyAlignment="1">
      <x:alignment horizontal="center" vertical="center"/>
    </x:xf>
    <x:xf numFmtId="200" fontId="9" fillId="7" borderId="9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1" fillId="7" borderId="0" xfId="0" applyNumberFormat="1" applyFont="1" applyFill="1" applyBorder="1"/>
    <x:xf numFmtId="0" fontId="11" fillId="7" borderId="4" xfId="0" applyNumberFormat="1" applyFont="1" applyFill="1" applyBorder="1"/>
    <x:xf numFmtId="0" fontId="11" fillId="7" borderId="5" xfId="0" applyNumberFormat="1" applyFont="1" applyFill="1" applyBorder="1"/>
    <x:xf numFmtId="0" fontId="11" fillId="7" borderId="6" xfId="0" applyNumberFormat="1" applyFont="1" applyFill="1" applyBorder="1"/>
    <x:xf numFmtId="0" fontId="11" fillId="7" borderId="7" xfId="0" applyNumberFormat="1" applyFont="1" applyFill="1" applyBorder="1"/>
    <x:xf numFmtId="0" fontId="11" fillId="7" borderId="8" xfId="0" applyNumberFormat="1" applyFont="1" applyFill="1" applyBorder="1"/>
    <x:xf numFmtId="0" fontId="11" fillId="7" borderId="9" xfId="0" applyNumberFormat="1" applyFont="1" applyFill="1" applyBorder="1"/>
    <x:xf numFmtId="200" fontId="11" fillId="7" borderId="4" xfId="0" applyNumberFormat="1" applyFont="1" applyFill="1" applyBorder="1"/>
    <x:xf numFmtId="200" fontId="11" fillId="7" borderId="5" xfId="0" applyNumberFormat="1" applyFont="1" applyFill="1" applyBorder="1"/>
    <x:xf numFmtId="200" fontId="11" fillId="7" borderId="6" xfId="0" applyNumberFormat="1" applyFont="1" applyFill="1" applyBorder="1"/>
    <x:xf numFmtId="200" fontId="11" fillId="7" borderId="7" xfId="0" applyNumberFormat="1" applyFont="1" applyFill="1" applyBorder="1"/>
    <x:xf numFmtId="200" fontId="11" fillId="7" borderId="8" xfId="0" applyNumberFormat="1" applyFont="1" applyFill="1" applyBorder="1"/>
    <x:xf numFmtId="200" fontId="11" fillId="7" borderId="9" xfId="0" applyNumberFormat="1" applyFont="1" applyFill="1" applyBorder="1"/>
    <x:xf numFmtId="200" fontId="11" fillId="7" borderId="4" xfId="0" applyNumberFormat="1" applyFont="1" applyFill="1" applyBorder="1" applyAlignment="1">
      <x:alignment horizontal="center"/>
    </x:xf>
    <x:xf numFmtId="200" fontId="11" fillId="7" borderId="5" xfId="0" applyNumberFormat="1" applyFont="1" applyFill="1" applyBorder="1" applyAlignment="1">
      <x:alignment horizontal="center"/>
    </x:xf>
    <x:xf numFmtId="200" fontId="11" fillId="7" borderId="6" xfId="0" applyNumberFormat="1" applyFont="1" applyFill="1" applyBorder="1" applyAlignment="1">
      <x:alignment horizontal="center"/>
    </x:xf>
    <x:xf numFmtId="200" fontId="11" fillId="7" borderId="7" xfId="0" applyNumberFormat="1" applyFont="1" applyFill="1" applyBorder="1" applyAlignment="1">
      <x:alignment horizontal="center"/>
    </x:xf>
    <x:xf numFmtId="200" fontId="11" fillId="7" borderId="8" xfId="0" applyNumberFormat="1" applyFont="1" applyFill="1" applyBorder="1" applyAlignment="1">
      <x:alignment horizontal="center"/>
    </x:xf>
    <x:xf numFmtId="200" fontId="11" fillId="7" borderId="9" xfId="0" applyNumberFormat="1" applyFont="1" applyFill="1" applyBorder="1" applyAlignment="1">
      <x:alignment horizontal="center"/>
    </x:xf>
    <x:xf numFmtId="200" fontId="11" fillId="7" borderId="4" xfId="0" applyNumberFormat="1" applyFont="1" applyFill="1" applyBorder="1" applyAlignment="1">
      <x:alignment horizontal="center" vertical="center"/>
    </x:xf>
    <x:xf numFmtId="200" fontId="11" fillId="7" borderId="5" xfId="0" applyNumberFormat="1" applyFont="1" applyFill="1" applyBorder="1" applyAlignment="1">
      <x:alignment horizontal="center" vertical="center"/>
    </x:xf>
    <x:xf numFmtId="200" fontId="11" fillId="7" borderId="6" xfId="0" applyNumberFormat="1" applyFont="1" applyFill="1" applyBorder="1" applyAlignment="1">
      <x:alignment horizontal="center" vertical="center"/>
    </x:xf>
    <x:xf numFmtId="200" fontId="11" fillId="7" borderId="7" xfId="0" applyNumberFormat="1" applyFont="1" applyFill="1" applyBorder="1" applyAlignment="1">
      <x:alignment horizontal="center" vertical="center"/>
    </x:xf>
    <x:xf numFmtId="200" fontId="11" fillId="7" borderId="8" xfId="0" applyNumberFormat="1" applyFont="1" applyFill="1" applyBorder="1" applyAlignment="1">
      <x:alignment horizontal="center" vertical="center"/>
    </x:xf>
    <x:xf numFmtId="200" fontId="11" fillId="7" borderId="9" xfId="0" applyNumberFormat="1" applyFont="1" applyFill="1" applyBorder="1" applyAlignment="1">
      <x:alignment horizontal="center" vertical="center"/>
    </x:xf>
    <x:xf numFmtId="0" fontId="11" fillId="7" borderId="10" xfId="0" applyNumberFormat="1" applyFont="1" applyFill="1" applyBorder="1"/>
    <x:xf numFmtId="0" fontId="11" fillId="7" borderId="11" xfId="0" applyNumberFormat="1" applyFont="1" applyFill="1" applyBorder="1"/>
    <x:xf numFmtId="200" fontId="11" fillId="7" borderId="10" xfId="0" applyNumberFormat="1" applyFont="1" applyFill="1" applyBorder="1"/>
    <x:xf numFmtId="200" fontId="11" fillId="7" borderId="0" xfId="0" applyNumberFormat="1" applyFont="1" applyFill="1" applyBorder="1"/>
    <x:xf numFmtId="200" fontId="11" fillId="7" borderId="11" xfId="0" applyNumberFormat="1" applyFont="1" applyFill="1" applyBorder="1"/>
    <x:xf numFmtId="200" fontId="11" fillId="7" borderId="10" xfId="0" applyNumberFormat="1" applyFont="1" applyFill="1" applyBorder="1" applyAlignment="1">
      <x:alignment horizontal="center"/>
    </x:xf>
    <x:xf numFmtId="200" fontId="11" fillId="7" borderId="0" xfId="0" applyNumberFormat="1" applyFont="1" applyFill="1" applyBorder="1" applyAlignment="1">
      <x:alignment horizontal="center"/>
    </x:xf>
    <x:xf numFmtId="200" fontId="11" fillId="7" borderId="11" xfId="0" applyNumberFormat="1" applyFont="1" applyFill="1" applyBorder="1" applyAlignment="1">
      <x:alignment horizontal="center"/>
    </x:xf>
    <x:xf numFmtId="200" fontId="11" fillId="7" borderId="10" xfId="0" applyNumberFormat="1" applyFont="1" applyFill="1" applyBorder="1" applyAlignment="1">
      <x:alignment horizontal="center" vertical="center"/>
    </x:xf>
    <x:xf numFmtId="200" fontId="11" fillId="7" borderId="0" xfId="0" applyNumberFormat="1" applyFont="1" applyFill="1" applyBorder="1" applyAlignment="1">
      <x:alignment horizontal="center" vertical="center"/>
    </x:xf>
    <x:xf numFmtId="200" fontId="11" fillId="7" borderId="11" xfId="0" applyNumberFormat="1" applyFont="1" applyFill="1" applyBorder="1" applyAlignment="1">
      <x:alignment horizontal="center" vertical="center"/>
    </x:xf>
    <x:xf numFmtId="0" fontId="9" fillId="7" borderId="10" xfId="0" applyNumberFormat="1" applyFont="1" applyFill="1" applyBorder="1"/>
    <x:xf numFmtId="0" fontId="9" fillId="7" borderId="11" xfId="0" applyNumberFormat="1" applyFont="1" applyFill="1" applyBorder="1"/>
    <x:xf numFmtId="201" fontId="9" fillId="7" borderId="4" xfId="0" applyNumberFormat="1" applyFont="1" applyFill="1" applyBorder="1"/>
    <x:xf numFmtId="201" fontId="9" fillId="7" borderId="10" xfId="0" applyNumberFormat="1" applyFont="1" applyFill="1" applyBorder="1"/>
    <x:xf numFmtId="201" fontId="9" fillId="7" borderId="5" xfId="0" applyNumberFormat="1" applyFont="1" applyFill="1" applyBorder="1"/>
    <x:xf numFmtId="201" fontId="9" fillId="7" borderId="6" xfId="0" applyNumberFormat="1" applyFont="1" applyFill="1" applyBorder="1"/>
    <x:xf numFmtId="201" fontId="9" fillId="7" borderId="0" xfId="0" applyNumberFormat="1" applyFont="1" applyFill="1" applyBorder="1"/>
    <x:xf numFmtId="201" fontId="9" fillId="7" borderId="7" xfId="0" applyNumberFormat="1" applyFont="1" applyFill="1" applyBorder="1"/>
    <x:xf numFmtId="201" fontId="9" fillId="7" borderId="8" xfId="0" applyNumberFormat="1" applyFont="1" applyFill="1" applyBorder="1"/>
    <x:xf numFmtId="201" fontId="9" fillId="7" borderId="11" xfId="0" applyNumberFormat="1" applyFont="1" applyFill="1" applyBorder="1"/>
    <x:xf numFmtId="201" fontId="9" fillId="7" borderId="9" xfId="0" applyNumberFormat="1" applyFont="1" applyFill="1" applyBorder="1"/>
    <x:xf numFmtId="201" fontId="9" fillId="7" borderId="4" xfId="0" applyNumberFormat="1" applyFont="1" applyFill="1" applyBorder="1" applyAlignment="1">
      <x:alignment horizontal="center"/>
    </x:xf>
    <x:xf numFmtId="201" fontId="9" fillId="7" borderId="10" xfId="0" applyNumberFormat="1" applyFont="1" applyFill="1" applyBorder="1" applyAlignment="1">
      <x:alignment horizontal="center"/>
    </x:xf>
    <x:xf numFmtId="201" fontId="9" fillId="7" borderId="5" xfId="0" applyNumberFormat="1" applyFont="1" applyFill="1" applyBorder="1" applyAlignment="1">
      <x:alignment horizontal="center"/>
    </x:xf>
    <x:xf numFmtId="201" fontId="9" fillId="7" borderId="6" xfId="0" applyNumberFormat="1" applyFont="1" applyFill="1" applyBorder="1" applyAlignment="1">
      <x:alignment horizontal="center"/>
    </x:xf>
    <x:xf numFmtId="201" fontId="9" fillId="7" borderId="0" xfId="0" applyNumberFormat="1" applyFont="1" applyFill="1" applyBorder="1" applyAlignment="1">
      <x:alignment horizontal="center"/>
    </x:xf>
    <x:xf numFmtId="201" fontId="9" fillId="7" borderId="7" xfId="0" applyNumberFormat="1" applyFont="1" applyFill="1" applyBorder="1" applyAlignment="1">
      <x:alignment horizontal="center"/>
    </x:xf>
    <x:xf numFmtId="201" fontId="9" fillId="7" borderId="8" xfId="0" applyNumberFormat="1" applyFont="1" applyFill="1" applyBorder="1" applyAlignment="1">
      <x:alignment horizontal="center"/>
    </x:xf>
    <x:xf numFmtId="201" fontId="9" fillId="7" borderId="11" xfId="0" applyNumberFormat="1" applyFont="1" applyFill="1" applyBorder="1" applyAlignment="1">
      <x:alignment horizontal="center"/>
    </x:xf>
    <x:xf numFmtId="201" fontId="9" fillId="7" borderId="9" xfId="0" applyNumberFormat="1" applyFont="1" applyFill="1" applyBorder="1" applyAlignment="1">
      <x:alignment horizontal="center"/>
    </x:xf>
    <x:xf numFmtId="201" fontId="9" fillId="7" borderId="4" xfId="0" applyNumberFormat="1" applyFont="1" applyFill="1" applyBorder="1" applyAlignment="1">
      <x:alignment horizontal="center" vertical="center"/>
    </x:xf>
    <x:xf numFmtId="201" fontId="9" fillId="7" borderId="10" xfId="0" applyNumberFormat="1" applyFont="1" applyFill="1" applyBorder="1" applyAlignment="1">
      <x:alignment horizontal="center" vertical="center"/>
    </x:xf>
    <x:xf numFmtId="201" fontId="9" fillId="7" borderId="5" xfId="0" applyNumberFormat="1" applyFont="1" applyFill="1" applyBorder="1" applyAlignment="1">
      <x:alignment horizontal="center" vertical="center"/>
    </x:xf>
    <x:xf numFmtId="201" fontId="9" fillId="7" borderId="6" xfId="0" applyNumberFormat="1" applyFont="1" applyFill="1" applyBorder="1" applyAlignment="1">
      <x:alignment horizontal="center" vertical="center"/>
    </x:xf>
    <x:xf numFmtId="201" fontId="9" fillId="7" borderId="0" xfId="0" applyNumberFormat="1" applyFont="1" applyFill="1" applyBorder="1" applyAlignment="1">
      <x:alignment horizontal="center" vertical="center"/>
    </x:xf>
    <x:xf numFmtId="201" fontId="9" fillId="7" borderId="7" xfId="0" applyNumberFormat="1" applyFont="1" applyFill="1" applyBorder="1" applyAlignment="1">
      <x:alignment horizontal="center" vertical="center"/>
    </x:xf>
    <x:xf numFmtId="201" fontId="9" fillId="7" borderId="8" xfId="0" applyNumberFormat="1" applyFont="1" applyFill="1" applyBorder="1" applyAlignment="1">
      <x:alignment horizontal="center" vertical="center"/>
    </x:xf>
    <x:xf numFmtId="201" fontId="9" fillId="7" borderId="11" xfId="0" applyNumberFormat="1" applyFont="1" applyFill="1" applyBorder="1" applyAlignment="1">
      <x:alignment horizontal="center" vertical="center"/>
    </x:xf>
    <x:xf numFmtId="201" fontId="9" fillId="7" borderId="9" xfId="0" applyNumberFormat="1" applyFont="1" applyFill="1" applyBorder="1" applyAlignment="1">
      <x:alignment horizontal="center" vertical="center"/>
    </x:xf>
    <x:xf numFmtId="0" fontId="12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12" xfId="0" applyNumberFormat="1" applyFont="1" applyFill="1" applyBorder="1"/>
    <x:xf numFmtId="201" fontId="0" fillId="0" borderId="12" xfId="0" applyNumberFormat="1" applyFont="1" applyFill="1" applyBorder="1"/>
    <x:xf numFmtId="200" fontId="0" fillId="0" borderId="12" xfId="0" applyNumberFormat="1" applyFont="1" applyFill="1" applyBorder="1" applyAlignment="1">
      <x:alignment horizontal="right"/>
    </x:xf>
    <x:xf numFmtId="201" fontId="0" fillId="0" borderId="12" xfId="0" applyNumberFormat="1" applyFont="1" applyFill="1" applyBorder="1" applyAlignment="1">
      <x:alignment horizontal="right"/>
    </x:xf>
    <x:xf numFmtId="200" fontId="0" fillId="9" borderId="12" xfId="0" applyNumberFormat="1" applyFont="1" applyFill="1" applyBorder="1" applyAlignment="1">
      <x:alignment horizontal="right"/>
    </x:xf>
    <x:xf numFmtId="201" fontId="0" fillId="9" borderId="12" xfId="0" applyNumberFormat="1" applyFont="1" applyFill="1" applyBorder="1" applyAlignment="1">
      <x:alignment horizontal="right"/>
    </x:xf>
    <x:xf numFmtId="200" fontId="0" fillId="4" borderId="12" xfId="0" applyNumberFormat="1" applyFont="1" applyFill="1" applyBorder="1" applyAlignment="1">
      <x:alignment horizontal="right"/>
    </x:xf>
    <x:xf numFmtId="201" fontId="0" fillId="4" borderId="12" xfId="0" applyNumberFormat="1" applyFont="1" applyFill="1" applyBorder="1" applyAlignment="1">
      <x:alignment horizontal="right"/>
    </x:xf>
    <x:xf numFmtId="200" fontId="0" fillId="10" borderId="12" xfId="0" applyNumberFormat="1" applyFont="1" applyFill="1" applyBorder="1" applyAlignment="1">
      <x:alignment horizontal="right"/>
    </x:xf>
    <x:xf numFmtId="201" fontId="0" fillId="10" borderId="12" xfId="0" applyNumberFormat="1" applyFont="1" applyFill="1" applyBorder="1" applyAlignment="1">
      <x:alignment horizontal="right"/>
    </x:xf>
    <x:xf numFmtId="0" fontId="5" fillId="6" borderId="13" xfId="0" applyNumberFormat="1" applyFont="1" applyFill="1" applyBorder="1"/>
    <x:xf numFmtId="0" fontId="5" fillId="6" borderId="14" xfId="0" applyNumberFormat="1" applyFont="1" applyFill="1" applyBorder="1"/>
    <x:xf numFmtId="0" fontId="5" fillId="6" borderId="15" xfId="0" applyNumberFormat="1" applyFont="1" applyFill="1" applyBorder="1"/>
    <x:xf numFmtId="0" fontId="5" fillId="6" borderId="16" xfId="0" applyNumberFormat="1" applyFont="1" applyFill="1" applyBorder="1"/>
    <x:xf numFmtId="0" fontId="5" fillId="6" borderId="17" xfId="0" applyNumberFormat="1" applyFont="1" applyFill="1" applyBorder="1"/>
    <x:xf numFmtId="0" fontId="5" fillId="6" borderId="18" xfId="0" applyNumberFormat="1" applyFont="1" applyFill="1" applyBorder="1"/>
    <x:xf numFmtId="0" fontId="5" fillId="6" borderId="19" xfId="0" applyNumberFormat="1" applyFont="1" applyFill="1" applyBorder="1"/>
    <x:xf numFmtId="0" fontId="5" fillId="6" borderId="20" xfId="0" applyNumberFormat="1" applyFont="1" applyFill="1" applyBorder="1"/>
    <x:xf numFmtId="0" fontId="5" fillId="6" borderId="13" xfId="0" applyNumberFormat="1" applyFont="1" applyFill="1" applyBorder="1" applyAlignment="1">
      <x:alignment horizontal="right"/>
    </x:xf>
    <x:xf numFmtId="0" fontId="5" fillId="6" borderId="14" xfId="0" applyNumberFormat="1" applyFont="1" applyFill="1" applyBorder="1" applyAlignment="1">
      <x:alignment horizontal="right"/>
    </x:xf>
    <x:xf numFmtId="0" fontId="5" fillId="6" borderId="15" xfId="0" applyNumberFormat="1" applyFont="1" applyFill="1" applyBorder="1" applyAlignment="1">
      <x:alignment horizontal="right"/>
    </x:xf>
    <x:xf numFmtId="0" fontId="5" fillId="6" borderId="16" xfId="0" applyNumberFormat="1" applyFont="1" applyFill="1" applyBorder="1" applyAlignment="1">
      <x:alignment horizontal="right"/>
    </x:xf>
    <x:xf numFmtId="0" fontId="5" fillId="6" borderId="0" xfId="0" applyNumberFormat="1" applyFont="1" applyFill="1" applyBorder="1" applyAlignment="1">
      <x:alignment horizontal="right"/>
    </x:xf>
    <x:xf numFmtId="0" fontId="5" fillId="6" borderId="17" xfId="0" applyNumberFormat="1" applyFont="1" applyFill="1" applyBorder="1" applyAlignment="1">
      <x:alignment horizontal="right"/>
    </x:xf>
    <x:xf numFmtId="0" fontId="5" fillId="6" borderId="18" xfId="0" applyNumberFormat="1" applyFont="1" applyFill="1" applyBorder="1" applyAlignment="1">
      <x:alignment horizontal="right"/>
    </x:xf>
    <x:xf numFmtId="0" fontId="5" fillId="6" borderId="19" xfId="0" applyNumberFormat="1" applyFont="1" applyFill="1" applyBorder="1" applyAlignment="1">
      <x:alignment horizontal="right"/>
    </x:xf>
    <x:xf numFmtId="0" fontId="5" fillId="6" borderId="20" xfId="0" applyNumberFormat="1" applyFont="1" applyFill="1" applyBorder="1" applyAlignment="1">
      <x:alignment horizontal="right"/>
    </x:xf>
    <x:xf numFmtId="201" fontId="5" fillId="6" borderId="13" xfId="0" applyNumberFormat="1" applyFont="1" applyFill="1" applyBorder="1" applyAlignment="1">
      <x:alignment horizontal="right"/>
    </x:xf>
    <x:xf numFmtId="201" fontId="5" fillId="6" borderId="14" xfId="0" applyNumberFormat="1" applyFont="1" applyFill="1" applyBorder="1" applyAlignment="1">
      <x:alignment horizontal="right"/>
    </x:xf>
    <x:xf numFmtId="201" fontId="5" fillId="6" borderId="15" xfId="0" applyNumberFormat="1" applyFont="1" applyFill="1" applyBorder="1" applyAlignment="1">
      <x:alignment horizontal="right"/>
    </x:xf>
    <x:xf numFmtId="201" fontId="5" fillId="6" borderId="16" xfId="0" applyNumberFormat="1" applyFont="1" applyFill="1" applyBorder="1" applyAlignment="1">
      <x:alignment horizontal="right"/>
    </x:xf>
    <x:xf numFmtId="201" fontId="5" fillId="6" borderId="0" xfId="0" applyNumberFormat="1" applyFont="1" applyFill="1" applyBorder="1" applyAlignment="1">
      <x:alignment horizontal="right"/>
    </x:xf>
    <x:xf numFmtId="201" fontId="5" fillId="6" borderId="17" xfId="0" applyNumberFormat="1" applyFont="1" applyFill="1" applyBorder="1" applyAlignment="1">
      <x:alignment horizontal="right"/>
    </x:xf>
    <x:xf numFmtId="201" fontId="5" fillId="6" borderId="18" xfId="0" applyNumberFormat="1" applyFont="1" applyFill="1" applyBorder="1" applyAlignment="1">
      <x:alignment horizontal="right"/>
    </x:xf>
    <x:xf numFmtId="201" fontId="5" fillId="6" borderId="19" xfId="0" applyNumberFormat="1" applyFont="1" applyFill="1" applyBorder="1" applyAlignment="1">
      <x:alignment horizontal="right"/>
    </x:xf>
    <x:xf numFmtId="201" fontId="5" fillId="6" borderId="20" xfId="0" applyNumberFormat="1" applyFont="1" applyFill="1" applyBorder="1" applyAlignment="1">
      <x:alignment horizontal="right"/>
    </x:xf>
    <x:xf numFmtId="0" fontId="13" fillId="9" borderId="0" xfId="0" applyNumberFormat="1" applyFont="1" applyFill="1" applyBorder="1"/>
    <x:xf numFmtId="0" fontId="13" fillId="9" borderId="21" xfId="0" applyNumberFormat="1" applyFont="1" applyFill="1" applyBorder="1"/>
    <x:xf numFmtId="0" fontId="13" fillId="9" borderId="22" xfId="0" applyNumberFormat="1" applyFont="1" applyFill="1" applyBorder="1"/>
    <x:xf numFmtId="0" fontId="13" fillId="9" borderId="23" xfId="0" applyNumberFormat="1" applyFont="1" applyFill="1" applyBorder="1"/>
    <x:xf numFmtId="0" fontId="13" fillId="9" borderId="24" xfId="0" applyNumberFormat="1" applyFont="1" applyFill="1" applyBorder="1"/>
    <x:xf numFmtId="0" fontId="13" fillId="9" borderId="25" xfId="0" applyNumberFormat="1" applyFont="1" applyFill="1" applyBorder="1"/>
    <x:xf numFmtId="0" fontId="13" fillId="9" borderId="26" xfId="0" applyNumberFormat="1" applyFont="1" applyFill="1" applyBorder="1"/>
    <x:xf numFmtId="0" fontId="13" fillId="9" borderId="21" xfId="0" applyNumberFormat="1" applyFont="1" applyFill="1" applyBorder="1" applyAlignment="1">
      <x:alignment wrapText="1"/>
    </x:xf>
    <x:xf numFmtId="0" fontId="13" fillId="9" borderId="22" xfId="0" applyNumberFormat="1" applyFont="1" applyFill="1" applyBorder="1" applyAlignment="1">
      <x:alignment wrapText="1"/>
    </x:xf>
    <x:xf numFmtId="0" fontId="13" fillId="9" borderId="23" xfId="0" applyNumberFormat="1" applyFont="1" applyFill="1" applyBorder="1" applyAlignment="1">
      <x:alignment wrapText="1"/>
    </x:xf>
    <x:xf numFmtId="0" fontId="13" fillId="9" borderId="24" xfId="0" applyNumberFormat="1" applyFont="1" applyFill="1" applyBorder="1" applyAlignment="1">
      <x:alignment wrapText="1"/>
    </x:xf>
    <x:xf numFmtId="0" fontId="13" fillId="9" borderId="25" xfId="0" applyNumberFormat="1" applyFont="1" applyFill="1" applyBorder="1" applyAlignment="1">
      <x:alignment wrapText="1"/>
    </x:xf>
    <x:xf numFmtId="0" fontId="13" fillId="9" borderId="26" xfId="0" applyNumberFormat="1" applyFont="1" applyFill="1" applyBorder="1" applyAlignment="1">
      <x:alignment wrapText="1"/>
    </x:xf>
    <x:xf numFmtId="0" fontId="13" fillId="9" borderId="21" xfId="0" applyNumberFormat="1" applyFont="1" applyFill="1" applyBorder="1" applyAlignment="1">
      <x:alignment vertical="center" wrapText="1"/>
    </x:xf>
    <x:xf numFmtId="0" fontId="13" fillId="9" borderId="22" xfId="0" applyNumberFormat="1" applyFont="1" applyFill="1" applyBorder="1" applyAlignment="1">
      <x:alignment vertical="center" wrapText="1"/>
    </x:xf>
    <x:xf numFmtId="0" fontId="13" fillId="9" borderId="23" xfId="0" applyNumberFormat="1" applyFont="1" applyFill="1" applyBorder="1" applyAlignment="1">
      <x:alignment vertical="center" wrapText="1"/>
    </x:xf>
    <x:xf numFmtId="0" fontId="13" fillId="9" borderId="24" xfId="0" applyNumberFormat="1" applyFont="1" applyFill="1" applyBorder="1" applyAlignment="1">
      <x:alignment vertical="center" wrapText="1"/>
    </x:xf>
    <x:xf numFmtId="0" fontId="13" fillId="9" borderId="25" xfId="0" applyNumberFormat="1" applyFont="1" applyFill="1" applyBorder="1" applyAlignment="1">
      <x:alignment vertical="center" wrapText="1"/>
    </x:xf>
    <x:xf numFmtId="0" fontId="13" fillId="9" borderId="26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horizontal="center" vertical="center"/>
    </x:xf>
    <x:xf numFmtId="0" fontId="15" fillId="3" borderId="0" xfId="0" applyNumberFormat="1" applyFont="1" applyFill="1" applyBorder="1" applyAlignment="1">
      <x:alignment vertical="center"/>
    </x:xf>
    <x:xf numFmtId="0" fontId="16" fillId="4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/>
    <x:xf numFmtId="0" fontId="18" fillId="3" borderId="0" xfId="0" applyNumberFormat="1" applyFont="1" applyFill="1" applyBorder="1" applyAlignment="1">
      <x:alignment vertical="center"/>
    </x:xf>
    <x:xf numFmtId="0" fontId="18" fillId="5" borderId="0" xfId="0" applyNumberFormat="1" applyFont="1" applyFill="1" applyBorder="1" applyAlignment="1">
      <x:alignment horizontal="center"/>
    </x:xf>
    <x:xf numFmtId="0" fontId="19" fillId="9" borderId="0" xfId="0" applyNumberFormat="1" applyFont="1" applyFill="1" applyBorder="1" applyAlignment="1">
      <x:alignment horizontal="center" vertical="center"/>
    </x:xf>
    <x:xf numFmtId="0" fontId="20" fillId="4" borderId="0" xfId="0" applyNumberFormat="1" applyFont="1" applyFill="1" applyBorder="1" applyAlignment="1">
      <x:alignment horizontal="center" vertical="center"/>
    </x:xf>
    <x:xf numFmtId="0" fontId="21" fillId="7" borderId="0" xfId="0" applyNumberFormat="1" applyFont="1" applyFill="1" applyBorder="1"/>
    <x:xf numFmtId="200" fontId="22" fillId="6" borderId="1" xfId="0" applyNumberFormat="1" applyFont="1" applyFill="1" applyBorder="1" applyAlignment="1">
      <x:alignment horizontal="right"/>
    </x:xf>
    <x:xf numFmtId="0" fontId="23" fillId="8" borderId="0" xfId="0" applyNumberFormat="1" applyFont="1" applyFill="1" applyBorder="1" applyAlignment="1">
      <x:alignment horizontal="center"/>
    </x:xf>
    <x:xf numFmtId="200" fontId="24" fillId="7" borderId="4" xfId="0" applyNumberFormat="1" applyFont="1" applyFill="1" applyBorder="1" applyAlignment="1">
      <x:alignment horizontal="center" vertical="center"/>
    </x:xf>
    <x:xf numFmtId="200" fontId="24" fillId="7" borderId="5" xfId="0" applyNumberFormat="1" applyFont="1" applyFill="1" applyBorder="1" applyAlignment="1">
      <x:alignment horizontal="center" vertical="center"/>
    </x:xf>
    <x:xf numFmtId="200" fontId="25" fillId="7" borderId="4" xfId="0" applyNumberFormat="1" applyFont="1" applyFill="1" applyBorder="1" applyAlignment="1">
      <x:alignment horizontal="center" vertical="center"/>
    </x:xf>
    <x:xf numFmtId="200" fontId="25" fillId="7" borderId="5" xfId="0" applyNumberFormat="1" applyFont="1" applyFill="1" applyBorder="1" applyAlignment="1">
      <x:alignment horizontal="center" vertical="center"/>
    </x:xf>
    <x:xf numFmtId="200" fontId="25" fillId="7" borderId="10" xfId="0" applyNumberFormat="1" applyFont="1" applyFill="1" applyBorder="1" applyAlignment="1">
      <x:alignment horizontal="center" vertical="center"/>
    </x:xf>
    <x:xf numFmtId="200" fontId="22" fillId="6" borderId="2" xfId="0" applyNumberFormat="1" applyFont="1" applyFill="1" applyBorder="1" applyAlignment="1">
      <x:alignment horizontal="right"/>
    </x:xf>
    <x:xf numFmtId="200" fontId="24" fillId="7" borderId="6" xfId="0" applyNumberFormat="1" applyFont="1" applyFill="1" applyBorder="1" applyAlignment="1">
      <x:alignment horizontal="center" vertical="center"/>
    </x:xf>
    <x:xf numFmtId="200" fontId="24" fillId="7" borderId="7" xfId="0" applyNumberFormat="1" applyFont="1" applyFill="1" applyBorder="1" applyAlignment="1">
      <x:alignment horizontal="center" vertical="center"/>
    </x:xf>
    <x:xf numFmtId="200" fontId="25" fillId="7" borderId="6" xfId="0" applyNumberFormat="1" applyFont="1" applyFill="1" applyBorder="1" applyAlignment="1">
      <x:alignment horizontal="center" vertical="center"/>
    </x:xf>
    <x:xf numFmtId="200" fontId="25" fillId="7" borderId="7" xfId="0" applyNumberFormat="1" applyFont="1" applyFill="1" applyBorder="1" applyAlignment="1">
      <x:alignment horizontal="center" vertical="center"/>
    </x:xf>
    <x:xf numFmtId="200" fontId="25" fillId="7" borderId="0" xfId="0" applyNumberFormat="1" applyFont="1" applyFill="1" applyBorder="1" applyAlignment="1">
      <x:alignment horizontal="center" vertical="center"/>
    </x:xf>
    <x:xf numFmtId="200" fontId="24" fillId="7" borderId="8" xfId="0" applyNumberFormat="1" applyFont="1" applyFill="1" applyBorder="1" applyAlignment="1">
      <x:alignment horizontal="center" vertical="center"/>
    </x:xf>
    <x:xf numFmtId="200" fontId="24" fillId="7" borderId="9" xfId="0" applyNumberFormat="1" applyFont="1" applyFill="1" applyBorder="1" applyAlignment="1">
      <x:alignment horizontal="center" vertical="center"/>
    </x:xf>
    <x:xf numFmtId="200" fontId="25" fillId="7" borderId="8" xfId="0" applyNumberFormat="1" applyFont="1" applyFill="1" applyBorder="1" applyAlignment="1">
      <x:alignment horizontal="center" vertical="center"/>
    </x:xf>
    <x:xf numFmtId="200" fontId="25" fillId="7" borderId="9" xfId="0" applyNumberFormat="1" applyFont="1" applyFill="1" applyBorder="1" applyAlignment="1">
      <x:alignment horizontal="center" vertical="center"/>
    </x:xf>
    <x:xf numFmtId="200" fontId="25" fillId="7" borderId="11" xfId="0" applyNumberFormat="1" applyFont="1" applyFill="1" applyBorder="1" applyAlignment="1">
      <x:alignment horizontal="center" vertical="center"/>
    </x:xf>
    <x:xf numFmtId="201" fontId="22" fillId="6" borderId="2" xfId="0" applyNumberFormat="1" applyFont="1" applyFill="1" applyBorder="1" applyAlignment="1">
      <x:alignment horizontal="right"/>
    </x:xf>
    <x:xf numFmtId="202" fontId="22" fillId="6" borderId="2" xfId="0" applyNumberFormat="1" applyFont="1" applyFill="1" applyBorder="1" applyAlignment="1">
      <x:alignment horizontal="right"/>
    </x:xf>
    <x:xf numFmtId="201" fontId="24" fillId="7" borderId="4" xfId="0" applyNumberFormat="1" applyFont="1" applyFill="1" applyBorder="1" applyAlignment="1">
      <x:alignment horizontal="center" vertical="center"/>
    </x:xf>
    <x:xf numFmtId="201" fontId="24" fillId="7" borderId="10" xfId="0" applyNumberFormat="1" applyFont="1" applyFill="1" applyBorder="1" applyAlignment="1">
      <x:alignment horizontal="center" vertical="center"/>
    </x:xf>
    <x:xf numFmtId="201" fontId="24" fillId="7" borderId="5" xfId="0" applyNumberFormat="1" applyFont="1" applyFill="1" applyBorder="1" applyAlignment="1">
      <x:alignment horizontal="center" vertical="center"/>
    </x:xf>
    <x:xf numFmtId="201" fontId="24" fillId="7" borderId="6" xfId="0" applyNumberFormat="1" applyFont="1" applyFill="1" applyBorder="1" applyAlignment="1">
      <x:alignment horizontal="center" vertical="center"/>
    </x:xf>
    <x:xf numFmtId="201" fontId="24" fillId="7" borderId="0" xfId="0" applyNumberFormat="1" applyFont="1" applyFill="1" applyBorder="1" applyAlignment="1">
      <x:alignment horizontal="center" vertical="center"/>
    </x:xf>
    <x:xf numFmtId="201" fontId="24" fillId="7" borderId="7" xfId="0" applyNumberFormat="1" applyFont="1" applyFill="1" applyBorder="1" applyAlignment="1">
      <x:alignment horizontal="center" vertical="center"/>
    </x:xf>
    <x:xf numFmtId="201" fontId="24" fillId="7" borderId="8" xfId="0" applyNumberFormat="1" applyFont="1" applyFill="1" applyBorder="1" applyAlignment="1">
      <x:alignment horizontal="center" vertical="center"/>
    </x:xf>
    <x:xf numFmtId="201" fontId="24" fillId="7" borderId="11" xfId="0" applyNumberFormat="1" applyFont="1" applyFill="1" applyBorder="1" applyAlignment="1">
      <x:alignment horizontal="center" vertical="center"/>
    </x:xf>
    <x:xf numFmtId="201" fontId="24" fillId="7" borderId="9" xfId="0" applyNumberFormat="1" applyFont="1" applyFill="1" applyBorder="1" applyAlignment="1">
      <x:alignment horizontal="center" vertical="center"/>
    </x:xf>
    <x:xf numFmtId="202" fontId="22" fillId="6" borderId="3" xfId="0" applyNumberFormat="1" applyFont="1" applyFill="1" applyBorder="1" applyAlignment="1">
      <x:alignment horizontal="right"/>
    </x:xf>
    <x:xf numFmtId="201" fontId="22" fillId="6" borderId="1" xfId="0" applyNumberFormat="1" applyFont="1" applyFill="1" applyBorder="1" applyAlignment="1">
      <x:alignment horizontal="right"/>
    </x:xf>
    <x:xf numFmtId="0" fontId="26" fillId="4" borderId="0" xfId="0" applyNumberFormat="1" applyFont="1" applyFill="1" applyBorder="1"/>
    <x:xf numFmtId="200" fontId="17" fillId="9" borderId="12" xfId="0" applyNumberFormat="1" applyFont="1" applyFill="1" applyBorder="1" applyAlignment="1">
      <x:alignment horizontal="right"/>
    </x:xf>
    <x:xf numFmtId="200" fontId="17" fillId="4" borderId="12" xfId="0" applyNumberFormat="1" applyFont="1" applyFill="1" applyBorder="1" applyAlignment="1">
      <x:alignment horizontal="right"/>
    </x:xf>
    <x:xf numFmtId="200" fontId="17" fillId="10" borderId="12" xfId="0" applyNumberFormat="1" applyFont="1" applyFill="1" applyBorder="1" applyAlignment="1">
      <x:alignment horizontal="right"/>
    </x:xf>
    <x:xf numFmtId="201" fontId="17" fillId="9" borderId="12" xfId="0" applyNumberFormat="1" applyFont="1" applyFill="1" applyBorder="1" applyAlignment="1">
      <x:alignment horizontal="right"/>
    </x:xf>
    <x:xf numFmtId="201" fontId="17" fillId="4" borderId="12" xfId="0" applyNumberFormat="1" applyFont="1" applyFill="1" applyBorder="1" applyAlignment="1">
      <x:alignment horizontal="right"/>
    </x:xf>
    <x:xf numFmtId="201" fontId="17" fillId="10" borderId="12" xfId="0" applyNumberFormat="1" applyFont="1" applyFill="1" applyBorder="1" applyAlignment="1">
      <x:alignment horizontal="right"/>
    </x:xf>
    <x:xf numFmtId="200" fontId="22" fillId="6" borderId="3" xfId="0" applyNumberFormat="1" applyFont="1" applyFill="1" applyBorder="1" applyAlignment="1">
      <x:alignment horizontal="right"/>
    </x:xf>
    <x:xf numFmtId="200" fontId="17" fillId="0" borderId="0" xfId="0" applyNumberFormat="1" applyFont="1" applyFill="1" applyBorder="1"/>
    <x:xf numFmtId="201" fontId="22" fillId="6" borderId="13" xfId="0" applyNumberFormat="1" applyFont="1" applyFill="1" applyBorder="1" applyAlignment="1">
      <x:alignment horizontal="right"/>
    </x:xf>
    <x:xf numFmtId="201" fontId="22" fillId="6" borderId="14" xfId="0" applyNumberFormat="1" applyFont="1" applyFill="1" applyBorder="1" applyAlignment="1">
      <x:alignment horizontal="right"/>
    </x:xf>
    <x:xf numFmtId="201" fontId="22" fillId="6" borderId="15" xfId="0" applyNumberFormat="1" applyFont="1" applyFill="1" applyBorder="1" applyAlignment="1">
      <x:alignment horizontal="right"/>
    </x:xf>
    <x:xf numFmtId="201" fontId="22" fillId="6" borderId="16" xfId="0" applyNumberFormat="1" applyFont="1" applyFill="1" applyBorder="1" applyAlignment="1">
      <x:alignment horizontal="right"/>
    </x:xf>
    <x:xf numFmtId="201" fontId="22" fillId="6" borderId="0" xfId="0" applyNumberFormat="1" applyFont="1" applyFill="1" applyBorder="1" applyAlignment="1">
      <x:alignment horizontal="right"/>
    </x:xf>
    <x:xf numFmtId="201" fontId="22" fillId="6" borderId="17" xfId="0" applyNumberFormat="1" applyFont="1" applyFill="1" applyBorder="1" applyAlignment="1">
      <x:alignment horizontal="right"/>
    </x:xf>
    <x:xf numFmtId="201" fontId="22" fillId="6" borderId="18" xfId="0" applyNumberFormat="1" applyFont="1" applyFill="1" applyBorder="1" applyAlignment="1">
      <x:alignment horizontal="right"/>
    </x:xf>
    <x:xf numFmtId="201" fontId="22" fillId="6" borderId="19" xfId="0" applyNumberFormat="1" applyFont="1" applyFill="1" applyBorder="1" applyAlignment="1">
      <x:alignment horizontal="right"/>
    </x:xf>
    <x:xf numFmtId="201" fontId="22" fillId="6" borderId="20" xfId="0" applyNumberFormat="1" applyFont="1" applyFill="1" applyBorder="1" applyAlignment="1">
      <x:alignment horizontal="right"/>
    </x:xf>
    <x:xf numFmtId="0" fontId="27" fillId="9" borderId="21" xfId="0" applyNumberFormat="1" applyFont="1" applyFill="1" applyBorder="1" applyAlignment="1">
      <x:alignment vertical="center" wrapText="1"/>
    </x:xf>
    <x:xf numFmtId="0" fontId="27" fillId="9" borderId="22" xfId="0" applyNumberFormat="1" applyFont="1" applyFill="1" applyBorder="1" applyAlignment="1">
      <x:alignment vertical="center" wrapText="1"/>
    </x:xf>
    <x:xf numFmtId="0" fontId="27" fillId="9" borderId="23" xfId="0" applyNumberFormat="1" applyFont="1" applyFill="1" applyBorder="1" applyAlignment="1">
      <x:alignment vertical="center" wrapText="1"/>
    </x:xf>
    <x:xf numFmtId="0" fontId="27" fillId="9" borderId="24" xfId="0" applyNumberFormat="1" applyFont="1" applyFill="1" applyBorder="1" applyAlignment="1">
      <x:alignment vertical="center" wrapText="1"/>
    </x:xf>
    <x:xf numFmtId="0" fontId="27" fillId="9" borderId="25" xfId="0" applyNumberFormat="1" applyFont="1" applyFill="1" applyBorder="1" applyAlignment="1">
      <x:alignment vertical="center" wrapText="1"/>
    </x:xf>
    <x:xf numFmtId="0" fontId="27" fillId="9" borderId="26" xfId="0" applyNumberFormat="1" applyFont="1" applyFill="1" applyBorder="1" applyAlignment="1">
      <x:alignment vertical="center" wrapText="1"/>
    </x:xf>
    <x:xf numFmtId="0" fontId="21" fillId="4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horizontal="center"/>
    </x:xf>
    <x:xf numFmtId="0" fontId="5" fillId="6" borderId="27" xfId="0" applyNumberFormat="1" applyFont="1" applyFill="1" applyBorder="1"/>
    <x:xf numFmtId="0" fontId="5" fillId="6" borderId="28" xfId="0" applyNumberFormat="1" applyFont="1" applyFill="1" applyBorder="1"/>
    <x:xf numFmtId="0" fontId="5" fillId="6" borderId="27" xfId="0" applyNumberFormat="1" applyFont="1" applyFill="1" applyBorder="1" applyAlignment="1">
      <x:alignment horizontal="right"/>
    </x:xf>
    <x:xf numFmtId="0" fontId="5" fillId="6" borderId="28" xfId="0" applyNumberFormat="1" applyFont="1" applyFill="1" applyBorder="1" applyAlignment="1">
      <x:alignment horizontal="right"/>
    </x:xf>
    <x:xf numFmtId="0" fontId="28" fillId="3" borderId="0" xfId="0" applyNumberFormat="1" applyFont="1" applyFill="1" applyBorder="1"/>
    <x:xf numFmtId="0" fontId="28" fillId="3" borderId="0" xfId="0" applyNumberFormat="1" applyFont="1" applyFill="1" applyBorder="1" applyAlignment="1">
      <x:alignment wrapText="1"/>
    </x:xf>
    <x:xf numFmtId="0" fontId="28" fillId="3" borderId="0" xfId="0" applyNumberFormat="1" applyFont="1" applyFill="1" applyBorder="1" applyAlignment="1">
      <x:alignment horizontal="center" wrapText="1"/>
    </x:xf>
    <x:xf numFmtId="0" fontId="29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30" fillId="0" borderId="0" xfId="0" applyNumberFormat="1" applyFont="1" applyFill="1" applyBorder="1"/>
    <x:xf numFmtId="200" fontId="30" fillId="0" borderId="0" xfId="0" applyNumberFormat="1" applyFont="1" applyFill="1" applyBorder="1"/>
    <x:xf numFmtId="0" fontId="26" fillId="4" borderId="0" xfId="0" applyNumberFormat="1" applyFont="1" applyFill="1" applyBorder="1" applyAlignment="1">
      <x:alignment horizontal="center"/>
    </x:xf>
    <x:xf numFmtId="0" fontId="22" fillId="6" borderId="27" xfId="0" applyNumberFormat="1" applyFont="1" applyFill="1" applyBorder="1" applyAlignment="1">
      <x:alignment horizontal="right"/>
    </x:xf>
    <x:xf numFmtId="0" fontId="22" fillId="6" borderId="28" xfId="0" applyNumberFormat="1" applyFont="1" applyFill="1" applyBorder="1" applyAlignment="1">
      <x:alignment horizontal="right"/>
    </x:xf>
    <x:xf numFmtId="0" fontId="31" fillId="3" borderId="0" xfId="0" applyNumberFormat="1" applyFont="1" applyFill="1" applyBorder="1" applyAlignment="1">
      <x:alignment horizontal="center" wrapText="1"/>
    </x:xf>
    <x:xf numFmtId="0" fontId="32" fillId="0" borderId="0" xfId="0" applyNumberFormat="1" applyFont="1" applyFill="1" applyBorder="1"/>
    <x:xf numFmtId="200" fontId="32" fillId="0" borderId="0" xfId="0" applyNumberFormat="1" applyFont="1" applyFill="1" applyBorder="1"/>
    <x:xf numFmtId="0" fontId="33" fillId="8" borderId="0" xfId="0" applyNumberFormat="1" applyFont="1" applyFill="1" applyBorder="1"/>
    <x:xf numFmtId="0" fontId="26" fillId="8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0" fillId="0" borderId="12" xfId="0" applyNumberFormat="1" applyFont="1" applyFill="1" applyBorder="1"/>
    <x:xf numFmtId="0" fontId="34" fillId="0" borderId="0" xfId="0" applyNumberFormat="1" applyFont="1" applyFill="1" applyBorder="1" applyAlignment="1">
      <x:alignment vertical="center" wrapText="1"/>
    </x:xf>
    <x:xf numFmtId="0" fontId="13" fillId="9" borderId="29" xfId="0" applyNumberFormat="1" applyFont="1" applyFill="1" applyBorder="1"/>
    <x:xf numFmtId="0" fontId="13" fillId="9" borderId="30" xfId="0" applyNumberFormat="1" applyFont="1" applyFill="1" applyBorder="1"/>
    <x:xf numFmtId="0" fontId="13" fillId="9" borderId="29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wrapText="1"/>
    </x:xf>
    <x:xf numFmtId="0" fontId="13" fillId="9" borderId="30" xfId="0" applyNumberFormat="1" applyFont="1" applyFill="1" applyBorder="1" applyAlignment="1">
      <x:alignment wrapText="1"/>
    </x:xf>
    <x:xf numFmtId="0" fontId="13" fillId="9" borderId="29" xfId="0" applyNumberFormat="1" applyFont="1" applyFill="1" applyBorder="1" applyAlignment="1">
      <x:alignment vertical="center" wrapText="1"/>
    </x:xf>
    <x:xf numFmtId="0" fontId="13" fillId="9" borderId="0" xfId="0" applyNumberFormat="1" applyFont="1" applyFill="1" applyBorder="1" applyAlignment="1">
      <x:alignment vertical="center" wrapText="1"/>
    </x:xf>
    <x:xf numFmtId="0" fontId="13" fillId="9" borderId="3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6" borderId="0" xfId="0" applyNumberFormat="1" applyFont="1" applyFill="1" applyBorder="1" applyAlignment="1">
      <x:alignment wrapText="1"/>
    </x:xf>
    <x:xf numFmtId="0" fontId="17" fillId="0" borderId="12" xfId="0" applyNumberFormat="1" applyFont="1" applyFill="1" applyBorder="1"/>
    <x:xf numFmtId="201" fontId="17" fillId="0" borderId="12" xfId="0" applyNumberFormat="1" applyFont="1" applyFill="1" applyBorder="1"/>
    <x:xf numFmtId="0" fontId="35" fillId="0" borderId="0" xfId="0" applyNumberFormat="1" applyFont="1" applyFill="1" applyBorder="1" applyAlignment="1">
      <x:alignment vertical="center" wrapText="1"/>
    </x:xf>
    <x:xf numFmtId="0" fontId="27" fillId="9" borderId="29" xfId="0" applyNumberFormat="1" applyFont="1" applyFill="1" applyBorder="1" applyAlignment="1">
      <x:alignment vertical="center" wrapText="1"/>
    </x:xf>
    <x:xf numFmtId="0" fontId="27" fillId="9" borderId="0" xfId="0" applyNumberFormat="1" applyFont="1" applyFill="1" applyBorder="1" applyAlignment="1">
      <x:alignment vertical="center" wrapText="1"/>
    </x:xf>
    <x:xf numFmtId="0" fontId="27" fillId="9" borderId="30" xfId="0" applyNumberFormat="1" applyFont="1" applyFill="1" applyBorder="1" applyAlignment="1">
      <x:alignment vertical="center" wrapText="1"/>
    </x:xf>
    <x:xf numFmtId="0" fontId="17" fillId="11" borderId="0" xfId="0" applyNumberFormat="1" applyFont="1" applyFill="1" applyBorder="1"/>
    <x:xf numFmtId="0" fontId="26" fillId="11" borderId="0" xfId="0" applyNumberFormat="1" applyFont="1" applyFill="1" applyBorder="1"/>
    <x:xf numFmtId="0" fontId="26" fillId="11" borderId="27" xfId="0" applyNumberFormat="1" applyFont="1" applyFill="1" applyBorder="1"/>
    <x:xf numFmtId="0" fontId="26" fillId="11" borderId="31" xfId="0" applyNumberFormat="1" applyFont="1" applyFill="1" applyBorder="1"/>
    <x:xf numFmtId="0" fontId="26" fillId="11" borderId="28" xfId="0" applyNumberFormat="1" applyFont="1" applyFill="1" applyBorder="1"/>
    <x:xf numFmtId="0" fontId="26" fillId="11" borderId="27" xfId="0" applyNumberFormat="1" applyFont="1" applyFill="1" applyBorder="1" applyAlignment="1">
      <x:alignment horizontal="center"/>
    </x:xf>
    <x:xf numFmtId="0" fontId="26" fillId="11" borderId="31" xfId="0" applyNumberFormat="1" applyFont="1" applyFill="1" applyBorder="1" applyAlignment="1">
      <x:alignment horizontal="center"/>
    </x:xf>
    <x:xf numFmtId="0" fontId="26" fillId="11" borderId="28" xfId="0" applyNumberFormat="1" applyFont="1" applyFill="1" applyBorder="1" applyAlignment="1">
      <x:alignment horizontal="center"/>
    </x:xf>
    <x:xf numFmtId="0" fontId="21" fillId="12" borderId="0" xfId="0" applyNumberFormat="1" applyFont="1" applyFill="1" applyBorder="1" applyAlignment="1">
      <x:alignment vertical="center" wrapText="1"/>
    </x:xf>
    <x:xf numFmtId="0" fontId="18" fillId="12" borderId="0" xfId="0" applyNumberFormat="1" applyFont="1" applyFill="1" applyBorder="1" applyAlignment="1">
      <x:alignment vertical="center" wrapText="1"/>
    </x:xf>
    <x:xf numFmtId="0" fontId="21" fillId="13" borderId="0" xfId="0" applyNumberFormat="1" applyFont="1" applyFill="1" applyBorder="1" applyAlignment="1">
      <x:alignment vertical="center" wrapText="1"/>
    </x:xf>
    <x:xf numFmtId="0" fontId="31" fillId="13" borderId="0" xfId="0" applyNumberFormat="1" applyFont="1" applyFill="1" applyBorder="1" applyAlignment="1">
      <x:alignment vertical="center" wrapText="1"/>
    </x:xf>
    <x:xf numFmtId="0" fontId="31" fillId="13" borderId="0" xfId="0" applyNumberFormat="1" applyFont="1" applyFill="1" applyBorder="1" applyAlignment="1">
      <x:alignment horizontal="center" vertical="center" wrapText="1"/>
    </x:xf>
    <x:xf numFmtId="0" fontId="32" fillId="4" borderId="0" xfId="0" applyNumberFormat="1" applyFont="1" applyFill="1" applyBorder="1" applyAlignment="1">
      <x:alignment vertical="center" wrapText="1"/>
    </x:xf>
    <x:xf numFmtId="0" fontId="32" fillId="4" borderId="12" xfId="0" applyNumberFormat="1" applyFont="1" applyFill="1" applyBorder="1" applyAlignment="1">
      <x:alignment vertical="center" wrapText="1"/>
    </x:xf>
    <x:xf numFmtId="0" fontId="30" fillId="0" borderId="12" xfId="0" applyNumberFormat="1" applyFont="1" applyFill="1" applyBorder="1"/>
    <x:xf numFmtId="200" fontId="32" fillId="4" borderId="12" xfId="0" applyNumberFormat="1" applyFont="1" applyFill="1" applyBorder="1" applyAlignment="1">
      <x:alignment vertical="center" wrapText="1"/>
    </x:xf>
    <x:xf numFmtId="200" fontId="30" fillId="0" borderId="12" xfId="0" applyNumberFormat="1" applyFont="1" applyFill="1" applyBorder="1"/>
    <x:xf numFmtId="0" fontId="0" fillId="12" borderId="0" xfId="0" applyNumberFormat="1" applyFont="1" applyFill="1" applyBorder="1"/>
    <x:xf numFmtId="0" fontId="4" fillId="12" borderId="0" xfId="0" applyNumberFormat="1" applyFont="1" applyFill="1" applyBorder="1"/>
    <x:xf numFmtId="0" fontId="4" fillId="12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4" fillId="13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1" xfId="0" applyNumberFormat="1" applyFont="1" applyFill="1" applyBorder="1"/>
    <x:xf numFmtId="0" fontId="5" fillId="11" borderId="2" xfId="0" applyNumberFormat="1" applyFont="1" applyFill="1" applyBorder="1"/>
    <x:xf numFmtId="0" fontId="5" fillId="11" borderId="3" xfId="0" applyNumberFormat="1" applyFont="1" applyFill="1" applyBorder="1"/>
    <x:xf numFmtId="0" fontId="5" fillId="11" borderId="1" xfId="0" applyNumberFormat="1" applyFont="1" applyFill="1" applyBorder="1" applyAlignment="1">
      <x:alignment horizontal="right"/>
    </x:xf>
    <x:xf numFmtId="0" fontId="5" fillId="11" borderId="2" xfId="0" applyNumberFormat="1" applyFont="1" applyFill="1" applyBorder="1" applyAlignment="1">
      <x:alignment horizontal="right"/>
    </x:xf>
    <x:xf numFmtId="0" fontId="5" fillId="11" borderId="3" xfId="0" applyNumberFormat="1" applyFont="1" applyFill="1" applyBorder="1" applyAlignment="1">
      <x:alignment horizontal="right"/>
    </x:xf>
    <x:xf numFmtId="203" fontId="5" fillId="11" borderId="1" xfId="0" applyNumberFormat="1" applyFont="1" applyFill="1" applyBorder="1" applyAlignment="1">
      <x:alignment horizontal="right"/>
    </x:xf>
    <x:xf numFmtId="200" fontId="5" fillId="11" borderId="2" xfId="0" applyNumberFormat="1" applyFont="1" applyFill="1" applyBorder="1" applyAlignment="1">
      <x:alignment horizontal="right"/>
    </x:xf>
    <x:xf numFmtId="202" fontId="5" fillId="11" borderId="2" xfId="0" applyNumberFormat="1" applyFont="1" applyFill="1" applyBorder="1" applyAlignment="1">
      <x:alignment horizontal="right"/>
    </x:xf>
    <x:xf numFmtId="201" fontId="5" fillId="11" borderId="2" xfId="0" applyNumberFormat="1" applyFont="1" applyFill="1" applyBorder="1" applyAlignment="1">
      <x:alignment horizontal="right"/>
    </x:xf>
    <x:xf numFmtId="200" fontId="5" fillId="11" borderId="3" xfId="0" applyNumberFormat="1" applyFont="1" applyFill="1" applyBorder="1" applyAlignment="1">
      <x:alignment horizontal="right"/>
    </x:xf>
    <x:xf numFmtId="0" fontId="0" fillId="14" borderId="0" xfId="0" applyNumberFormat="1" applyFont="1" applyFill="1" applyBorder="1"/>
    <x:xf numFmtId="0" fontId="6" fillId="14" borderId="0" xfId="0" applyNumberFormat="1" applyFont="1" applyFill="1" applyBorder="1"/>
    <x:xf numFmtId="0" fontId="6" fillId="14" xfId="0" applyNumberFormat="1" applyFont="1" applyFill="1" applyBorder="0"/>
    <x:xf numFmtId="0" fontId="0" fillId="15" borderId="0" xfId="0" applyNumberFormat="1" applyFont="1" applyFill="1" applyBorder="1"/>
    <x:xf numFmtId="0" fontId="7" fillId="15" borderId="0" xfId="0" applyNumberFormat="1" applyFont="1" applyFill="1" applyBorder="1"/>
    <x:xf numFmtId="0" fontId="7" fillId="15" borderId="0" xfId="0" applyNumberFormat="1" applyFont="1" applyFill="1" applyBorder="1" applyAlignment="1">
      <x:alignment horizontal="center"/>
    </x:xf>
    <x:xf numFmtId="0" fontId="0" fillId="16" borderId="0" xfId="0" applyNumberFormat="1" applyFont="1" applyFill="1" applyBorder="1"/>
    <x:xf numFmtId="0" fontId="12" fillId="16" borderId="0" xfId="0" applyNumberFormat="1" applyFont="1" applyFill="1" applyBorder="1"/>
    <x:xf numFmtId="0" fontId="12" fillId="16" borderId="32" xfId="0" applyNumberFormat="1" applyFont="1" applyFill="1" applyBorder="1"/>
    <x:xf numFmtId="0" fontId="12" fillId="16" borderId="33" xfId="0" applyNumberFormat="1" applyFont="1" applyFill="1" applyBorder="1"/>
    <x:xf numFmtId="0" fontId="12" fillId="16" borderId="34" xfId="0" applyNumberFormat="1" applyFont="1" applyFill="1" applyBorder="1"/>
    <x:xf numFmtId="0" fontId="12" fillId="16" borderId="33" xfId="0" applyNumberFormat="1" applyFont="1" applyFill="1" applyBorder="1" applyAlignment="1">
      <x:alignment horizontal="center"/>
    </x:xf>
    <x:xf numFmtId="0" fontId="12" fillId="16" borderId="34" xfId="0" applyNumberFormat="1" applyFont="1" applyFill="1" applyBorder="1" applyAlignment="1">
      <x:alignment horizontal="center"/>
    </x:xf>
    <x:xf numFmtId="0" fontId="0" fillId="17" borderId="0" xfId="0" applyNumberFormat="1" applyFont="1" applyFill="1" applyBorder="1"/>
    <x:xf numFmtId="0" fontId="13" fillId="17" borderId="0" xfId="0" applyNumberFormat="1" applyFont="1" applyFill="1" applyBorder="1"/>
    <x:xf numFmtId="0" fontId="13" fillId="17" borderId="21" xfId="0" applyNumberFormat="1" applyFont="1" applyFill="1" applyBorder="1"/>
    <x:xf numFmtId="0" fontId="13" fillId="17" borderId="22" xfId="0" applyNumberFormat="1" applyFont="1" applyFill="1" applyBorder="1"/>
    <x:xf numFmtId="0" fontId="13" fillId="17" borderId="23" xfId="0" applyNumberFormat="1" applyFont="1" applyFill="1" applyBorder="1"/>
    <x:xf numFmtId="0" fontId="13" fillId="17" borderId="29" xfId="0" applyNumberFormat="1" applyFont="1" applyFill="1" applyBorder="1"/>
    <x:xf numFmtId="0" fontId="13" fillId="17" xfId="0" applyNumberFormat="1" applyFont="1" applyFill="1" applyBorder="0"/>
    <x:xf numFmtId="0" fontId="13" fillId="17" borderId="30" xfId="0" applyNumberFormat="1" applyFont="1" applyFill="1" applyBorder="1"/>
    <x:xf numFmtId="0" fontId="13" fillId="17" borderId="24" xfId="0" applyNumberFormat="1" applyFont="1" applyFill="1" applyBorder="1"/>
    <x:xf numFmtId="0" fontId="13" fillId="17" borderId="25" xfId="0" applyNumberFormat="1" applyFont="1" applyFill="1" applyBorder="1"/>
    <x:xf numFmtId="0" fontId="13" fillId="17" borderId="26" xfId="0" applyNumberFormat="1" applyFont="1" applyFill="1" applyBorder="1"/>
    <x:xf numFmtId="0" fontId="13" fillId="17" borderId="21" xfId="0" applyNumberFormat="1" applyFont="1" applyFill="1" applyBorder="1" applyAlignment="1">
      <x:alignment wrapText="1"/>
    </x:xf>
    <x:xf numFmtId="0" fontId="13" fillId="17" borderId="22" xfId="0" applyNumberFormat="1" applyFont="1" applyFill="1" applyBorder="1" applyAlignment="1">
      <x:alignment wrapText="1"/>
    </x:xf>
    <x:xf numFmtId="0" fontId="13" fillId="17" borderId="23" xfId="0" applyNumberFormat="1" applyFont="1" applyFill="1" applyBorder="1" applyAlignment="1">
      <x:alignment wrapText="1"/>
    </x:xf>
    <x:xf numFmtId="0" fontId="13" fillId="17" borderId="29" xfId="0" applyNumberFormat="1" applyFont="1" applyFill="1" applyBorder="1" applyAlignment="1">
      <x:alignment wrapText="1"/>
    </x:xf>
    <x:xf numFmtId="0" fontId="13" fillId="17" xfId="0" applyNumberFormat="1" applyFont="1" applyFill="1" applyBorder="0" applyAlignment="1">
      <x:alignment wrapText="1"/>
    </x:xf>
    <x:xf numFmtId="0" fontId="13" fillId="17" borderId="30" xfId="0" applyNumberFormat="1" applyFont="1" applyFill="1" applyBorder="1" applyAlignment="1">
      <x:alignment wrapText="1"/>
    </x:xf>
    <x:xf numFmtId="0" fontId="13" fillId="17" borderId="24" xfId="0" applyNumberFormat="1" applyFont="1" applyFill="1" applyBorder="1" applyAlignment="1">
      <x:alignment wrapText="1"/>
    </x:xf>
    <x:xf numFmtId="0" fontId="13" fillId="17" borderId="25" xfId="0" applyNumberFormat="1" applyFont="1" applyFill="1" applyBorder="1" applyAlignment="1">
      <x:alignment wrapText="1"/>
    </x:xf>
    <x:xf numFmtId="0" fontId="13" fillId="17" borderId="26" xfId="0" applyNumberFormat="1" applyFont="1" applyFill="1" applyBorder="1" applyAlignment="1">
      <x:alignment wrapText="1"/>
    </x:xf>
    <x:xf numFmtId="0" fontId="13" fillId="17" borderId="21" xfId="0" applyNumberFormat="1" applyFont="1" applyFill="1" applyBorder="1" applyAlignment="1">
      <x:alignment vertical="center" wrapText="1"/>
    </x:xf>
    <x:xf numFmtId="0" fontId="13" fillId="17" borderId="22" xfId="0" applyNumberFormat="1" applyFont="1" applyFill="1" applyBorder="1" applyAlignment="1">
      <x:alignment vertical="center" wrapText="1"/>
    </x:xf>
    <x:xf numFmtId="0" fontId="13" fillId="17" borderId="23" xfId="0" applyNumberFormat="1" applyFont="1" applyFill="1" applyBorder="1" applyAlignment="1">
      <x:alignment vertical="center" wrapText="1"/>
    </x:xf>
    <x:xf numFmtId="0" fontId="13" fillId="17" borderId="29" xfId="0" applyNumberFormat="1" applyFont="1" applyFill="1" applyBorder="1" applyAlignment="1">
      <x:alignment vertical="center" wrapText="1"/>
    </x:xf>
    <x:xf numFmtId="0" fontId="13" fillId="17" xfId="0" applyNumberFormat="1" applyFont="1" applyFill="1" applyBorder="0" applyAlignment="1">
      <x:alignment vertical="center" wrapText="1"/>
    </x:xf>
    <x:xf numFmtId="0" fontId="13" fillId="17" borderId="30" xfId="0" applyNumberFormat="1" applyFont="1" applyFill="1" applyBorder="1" applyAlignment="1">
      <x:alignment vertical="center" wrapText="1"/>
    </x:xf>
    <x:xf numFmtId="0" fontId="13" fillId="17" borderId="24" xfId="0" applyNumberFormat="1" applyFont="1" applyFill="1" applyBorder="1" applyAlignment="1">
      <x:alignment vertical="center" wrapText="1"/>
    </x:xf>
    <x:xf numFmtId="0" fontId="13" fillId="17" borderId="25" xfId="0" applyNumberFormat="1" applyFont="1" applyFill="1" applyBorder="1" applyAlignment="1">
      <x:alignment vertical="center" wrapText="1"/>
    </x:xf>
    <x:xf numFmtId="0" fontId="13" fillId="17" borderId="26" xfId="0" applyNumberFormat="1" applyFont="1" applyFill="1" applyBorder="1" applyAlignment="1">
      <x:alignment vertical="center" wrapText="1"/>
    </x:xf>
    <x:xf numFmtId="0" fontId="32" fillId="0" borderId="12" xfId="0" applyNumberFormat="1" applyFont="1" applyFill="1" applyBorder="1"/>
    <x:xf numFmtId="200" fontId="32" fillId="0" borderId="12" xfId="0" applyNumberFormat="1" applyFont="1" applyFill="1" applyBorder="1"/>
    <x:xf numFmtId="0" fontId="18" fillId="12" borderId="0" xfId="0" applyNumberFormat="1" applyFont="1" applyFill="1" applyBorder="1" applyAlignment="1">
      <x:alignment vertical="center"/>
    </x:xf>
    <x:xf numFmtId="0" fontId="18" fillId="13" borderId="0" xfId="0" applyNumberFormat="1" applyFont="1" applyFill="1" applyBorder="1" applyAlignment="1">
      <x:alignment horizontal="center"/>
    </x:xf>
    <x:xf numFmtId="0" fontId="21" fillId="14" xfId="0" applyNumberFormat="1" applyFont="1" applyFill="1" applyBorder="0"/>
    <x:xf numFmtId="203" fontId="22" fillId="11" borderId="1" xfId="0" applyNumberFormat="1" applyFont="1" applyFill="1" applyBorder="1" applyAlignment="1">
      <x:alignment horizontal="right"/>
    </x:xf>
    <x:xf numFmtId="0" fontId="23" fillId="15" borderId="0" xfId="0" applyNumberFormat="1" applyFont="1" applyFill="1" applyBorder="1" applyAlignment="1">
      <x:alignment horizontal="center"/>
    </x:xf>
    <x:xf numFmtId="200" fontId="22" fillId="11" borderId="2" xfId="0" applyNumberFormat="1" applyFont="1" applyFill="1" applyBorder="1" applyAlignment="1">
      <x:alignment horizontal="right"/>
    </x:xf>
    <x:xf numFmtId="0" fontId="22" fillId="11" borderId="2" xfId="0" applyNumberFormat="1" applyFont="1" applyFill="1" applyBorder="1" applyAlignment="1">
      <x:alignment horizontal="right"/>
    </x:xf>
    <x:xf numFmtId="202" fontId="22" fillId="11" borderId="2" xfId="0" applyNumberFormat="1" applyFont="1" applyFill="1" applyBorder="1" applyAlignment="1">
      <x:alignment horizontal="right"/>
    </x:xf>
    <x:xf numFmtId="201" fontId="22" fillId="11" borderId="2" xfId="0" applyNumberFormat="1" applyFont="1" applyFill="1" applyBorder="1" applyAlignment="1">
      <x:alignment horizontal="right"/>
    </x:xf>
    <x:xf numFmtId="200" fontId="22" fillId="11" borderId="3" xfId="0" applyNumberFormat="1" applyFont="1" applyFill="1" applyBorder="1" applyAlignment="1">
      <x:alignment horizontal="right"/>
    </x:xf>
    <x:xf numFmtId="0" fontId="26" fillId="16" borderId="32" xfId="0" applyNumberFormat="1" applyFont="1" applyFill="1" applyBorder="1"/>
    <x:xf numFmtId="0" fontId="26" fillId="16" borderId="33" xfId="0" applyNumberFormat="1" applyFont="1" applyFill="1" applyBorder="1"/>
    <x:xf numFmtId="0" fontId="26" fillId="16" borderId="33" xfId="0" applyNumberFormat="1" applyFont="1" applyFill="1" applyBorder="1" applyAlignment="1">
      <x:alignment horizontal="center"/>
    </x:xf>
    <x:xf numFmtId="0" fontId="26" fillId="16" borderId="34" xfId="0" applyNumberFormat="1" applyFont="1" applyFill="1" applyBorder="1" applyAlignment="1">
      <x:alignment horizontal="center"/>
    </x:xf>
    <x:xf numFmtId="0" fontId="27" fillId="17" borderId="21" xfId="0" applyNumberFormat="1" applyFont="1" applyFill="1" applyBorder="1" applyAlignment="1">
      <x:alignment vertical="center" wrapText="1"/>
    </x:xf>
    <x:xf numFmtId="0" fontId="27" fillId="17" borderId="22" xfId="0" applyNumberFormat="1" applyFont="1" applyFill="1" applyBorder="1" applyAlignment="1">
      <x:alignment vertical="center" wrapText="1"/>
    </x:xf>
    <x:xf numFmtId="0" fontId="27" fillId="17" borderId="23" xfId="0" applyNumberFormat="1" applyFont="1" applyFill="1" applyBorder="1" applyAlignment="1">
      <x:alignment vertical="center" wrapText="1"/>
    </x:xf>
    <x:xf numFmtId="0" fontId="27" fillId="17" borderId="29" xfId="0" applyNumberFormat="1" applyFont="1" applyFill="1" applyBorder="1" applyAlignment="1">
      <x:alignment vertical="center" wrapText="1"/>
    </x:xf>
    <x:xf numFmtId="0" fontId="27" fillId="17" xfId="0" applyNumberFormat="1" applyFont="1" applyFill="1" applyBorder="0" applyAlignment="1">
      <x:alignment vertical="center" wrapText="1"/>
    </x:xf>
    <x:xf numFmtId="0" fontId="27" fillId="17" borderId="30" xfId="0" applyNumberFormat="1" applyFont="1" applyFill="1" applyBorder="1" applyAlignment="1">
      <x:alignment vertical="center" wrapText="1"/>
    </x:xf>
    <x:xf numFmtId="0" fontId="27" fillId="17" borderId="24" xfId="0" applyNumberFormat="1" applyFont="1" applyFill="1" applyBorder="1" applyAlignment="1">
      <x:alignment vertical="center" wrapText="1"/>
    </x:xf>
    <x:xf numFmtId="0" fontId="27" fillId="17" borderId="25" xfId="0" applyNumberFormat="1" applyFont="1" applyFill="1" applyBorder="1" applyAlignment="1">
      <x:alignment vertical="center" wrapText="1"/>
    </x:xf>
    <x:xf numFmtId="0" fontId="27" fillId="17" borderId="26" xfId="0" applyNumberFormat="1" applyFont="1" applyFill="1" applyBorder="1" applyAlignment="1">
      <x:alignment vertical="center" wrapText="1"/>
    </x:xf>
    <x:xf numFmtId="204" fontId="0" fillId="0" borderId="0" xfId="0" applyNumberFormat="1" applyFont="1" applyFill="1" applyBorder="1"/>
    <x:xf numFmtId="0" fontId="30" fillId="0" xfId="0" applyNumberFormat="1" applyFont="1" applyFill="1" applyBorder="0"/>
    <x:xf numFmtId="200" fontId="30" fillId="0" xfId="0" applyNumberFormat="1" applyFont="1" applyFill="1" applyBorder="0"/>
    <x:xf numFmtId="200" fontId="32" fillId="0" xfId="0" applyNumberFormat="1" applyFont="1" applyFill="1" applyBorder="0"/>
    <x:xf numFmtId="0" fontId="31" fillId="12" borderId="0" xfId="0" applyNumberFormat="1" applyFont="1" applyFill="1" applyBorder="1" applyAlignment="1">
      <x:alignment horizontal="center" wrapText="1"/>
    </x:xf>
    <x:xf numFmtId="0" fontId="17" fillId="12" borderId="0" xfId="0" applyNumberFormat="1" applyFont="1" applyFill="1" applyBorder="1"/>
    <x:xf numFmtId="0" fontId="36" fillId="12" borderId="0" xfId="0" applyNumberFormat="1" applyFont="1" applyFill="1" applyBorder="1" applyAlignment="1">
      <x:alignment horizontal="center" wrapText="1"/>
    </x:xf>
    <x:xf numFmtId="0" fontId="36" fillId="12" borderId="0" xfId="0" applyNumberFormat="1" applyFont="1" applyFill="1" applyBorder="1"/>
    <x:xf numFmtId="0" fontId="36" fillId="12" borderId="0" xfId="0" applyNumberFormat="1" applyFont="1" applyFill="1" applyBorder="1" applyAlignment="1">
      <x:alignment wrapText="1"/>
    </x:xf>
    <x:xf numFmtId="0" fontId="17" fillId="0" xfId="0" applyNumberFormat="1" applyFont="1" applyFill="1" applyBorder="0" applyAlignment="1">
      <x:alignment vertical="center" wrapText="1"/>
    </x:xf>
    <x:xf numFmtId="0" fontId="17" fillId="0" xfId="0" applyNumberFormat="1" applyFont="1" applyFill="1" applyBorder="0"/>
    <x:xf numFmtId="0" fontId="17" fillId="0" xfId="0" applyNumberFormat="1" applyFont="1" applyFill="1" applyBorder="0" applyAlignment="1">
      <x:alignment wrapText="1"/>
    </x:xf>
    <x:xf numFmtId="0" fontId="17" fillId="11" borderId="0" xfId="0" applyNumberFormat="1" applyFont="1" applyFill="1" applyBorder="1" applyAlignment="1">
      <x:alignment wrapText="1"/>
    </x:xf>
    <x:xf numFmtId="0" fontId="17" fillId="11" xfId="0" applyNumberFormat="1" applyFont="1" applyFill="1" applyBorder="0" applyAlignment="1">
      <x:alignment wrapText="1"/>
    </x:xf>
    <x:xf numFmtId="0" fontId="27" fillId="17" borderId="0" xfId="0" applyNumberFormat="1" applyFont="1" applyFill="1" applyBorder="1" applyAlignment="1">
      <x:alignment vertical="center" wrapText="1"/>
    </x:xf>
    <x:xf numFmtId="200" fontId="20" fillId="4" borderId="0" xfId="0" applyNumberFormat="1" applyFont="1" applyFill="1" applyBorder="1" applyAlignment="1">
      <x:alignment horizontal="center" vertical="center"/>
    </x:xf>
    <x:xf numFmtId="200" fontId="19" fillId="9" borderId="0" xfId="0" applyNumberFormat="1" applyFont="1" applyFill="1" applyBorder="1" applyAlignment="1">
      <x:alignment horizontal="center" vertical="center"/>
    </x:xf>
    <x:xf numFmtId="0" fontId="17" fillId="18" borderId="0" xfId="0" applyNumberFormat="1" applyFont="1" applyFill="1" applyBorder="1"/>
    <x:xf numFmtId="0" fontId="18" fillId="18" borderId="0" xfId="0" applyNumberFormat="1" applyFont="1" applyFill="1" applyBorder="1"/>
    <x:xf numFmtId="0" fontId="18" fillId="18" borderId="0" xfId="0" applyNumberFormat="1" applyFont="1" applyFill="1" applyBorder="1" applyAlignment="1">
      <x:alignment vertical="center"/>
    </x:xf>
    <x:xf numFmtId="0" fontId="17" fillId="19" borderId="0" xfId="0" applyNumberFormat="1" applyFont="1" applyFill="1" applyBorder="1"/>
    <x:xf numFmtId="0" fontId="37" fillId="19" borderId="0" xfId="0" applyNumberFormat="1" applyFont="1" applyFill="1" applyBorder="1"/>
    <x:xf numFmtId="0" fontId="37" fillId="19" borderId="0" xfId="0" applyNumberFormat="1" applyFont="1" applyFill="1" applyBorder="1" applyAlignment="1">
      <x:alignment wrapText="1"/>
    </x:xf>
    <x:xf numFmtId="0" fontId="37" fillId="19" borderId="0" xfId="0" applyNumberFormat="1" applyFont="1" applyFill="1" applyBorder="1" applyAlignment="1">
      <x:alignment horizontal="center" wrapText="1"/>
    </x:xf>
    <x:xf numFmtId="0" fontId="37" fillId="19" borderId="0" xfId="0" applyNumberFormat="1" applyFont="1" applyFill="1" applyBorder="1" applyAlignment="1">
      <x:alignment horizontal="center" vertical="center" wrapText="1"/>
    </x:xf>
    <x:xf numFmtId="0" fontId="17" fillId="20" borderId="0" xfId="0" applyNumberFormat="1" applyFont="1" applyFill="1" applyBorder="1"/>
    <x:xf numFmtId="0" fontId="25" fillId="20" borderId="0" xfId="0" applyNumberFormat="1" applyFont="1" applyFill="1" applyBorder="1"/>
    <x:xf numFmtId="0" fontId="25" fillId="20" borderId="4" xfId="0" applyNumberFormat="1" applyFont="1" applyFill="1" applyBorder="1"/>
    <x:xf numFmtId="0" fontId="25" fillId="20" borderId="10" xfId="0" applyNumberFormat="1" applyFont="1" applyFill="1" applyBorder="1"/>
    <x:xf numFmtId="0" fontId="25" fillId="20" borderId="5" xfId="0" applyNumberFormat="1" applyFont="1" applyFill="1" applyBorder="1"/>
    <x:xf numFmtId="0" fontId="25" fillId="20" borderId="6" xfId="0" applyNumberFormat="1" applyFont="1" applyFill="1" applyBorder="1"/>
    <x:xf numFmtId="0" fontId="25" fillId="20" xfId="0" applyNumberFormat="1" applyFont="1" applyFill="1" applyBorder="0"/>
    <x:xf numFmtId="0" fontId="25" fillId="20" borderId="7" xfId="0" applyNumberFormat="1" applyFont="1" applyFill="1" applyBorder="1"/>
    <x:xf numFmtId="0" fontId="25" fillId="20" borderId="8" xfId="0" applyNumberFormat="1" applyFont="1" applyFill="1" applyBorder="1"/>
    <x:xf numFmtId="0" fontId="25" fillId="20" borderId="11" xfId="0" applyNumberFormat="1" applyFont="1" applyFill="1" applyBorder="1"/>
    <x:xf numFmtId="0" fontId="25" fillId="20" borderId="9" xfId="0" applyNumberFormat="1" applyFont="1" applyFill="1" applyBorder="1"/>
    <x:xf numFmtId="200" fontId="25" fillId="20" borderId="4" xfId="0" applyNumberFormat="1" applyFont="1" applyFill="1" applyBorder="1"/>
    <x:xf numFmtId="200" fontId="25" fillId="20" borderId="10" xfId="0" applyNumberFormat="1" applyFont="1" applyFill="1" applyBorder="1"/>
    <x:xf numFmtId="200" fontId="25" fillId="20" borderId="5" xfId="0" applyNumberFormat="1" applyFont="1" applyFill="1" applyBorder="1"/>
    <x:xf numFmtId="200" fontId="25" fillId="20" borderId="6" xfId="0" applyNumberFormat="1" applyFont="1" applyFill="1" applyBorder="1"/>
    <x:xf numFmtId="200" fontId="25" fillId="20" xfId="0" applyNumberFormat="1" applyFont="1" applyFill="1" applyBorder="0"/>
    <x:xf numFmtId="200" fontId="25" fillId="20" borderId="7" xfId="0" applyNumberFormat="1" applyFont="1" applyFill="1" applyBorder="1"/>
    <x:xf numFmtId="200" fontId="25" fillId="20" borderId="8" xfId="0" applyNumberFormat="1" applyFont="1" applyFill="1" applyBorder="1"/>
    <x:xf numFmtId="200" fontId="25" fillId="20" borderId="11" xfId="0" applyNumberFormat="1" applyFont="1" applyFill="1" applyBorder="1"/>
    <x:xf numFmtId="200" fontId="25" fillId="20" borderId="9" xfId="0" applyNumberFormat="1" applyFont="1" applyFill="1" applyBorder="1"/>
    <x:xf numFmtId="200" fontId="25" fillId="20" borderId="4" xfId="0" applyNumberFormat="1" applyFont="1" applyFill="1" applyBorder="1" applyAlignment="1">
      <x:alignment horizontal="center"/>
    </x:xf>
    <x:xf numFmtId="200" fontId="25" fillId="20" borderId="10" xfId="0" applyNumberFormat="1" applyFont="1" applyFill="1" applyBorder="1" applyAlignment="1">
      <x:alignment horizontal="center"/>
    </x:xf>
    <x:xf numFmtId="200" fontId="25" fillId="20" borderId="5" xfId="0" applyNumberFormat="1" applyFont="1" applyFill="1" applyBorder="1" applyAlignment="1">
      <x:alignment horizontal="center"/>
    </x:xf>
    <x:xf numFmtId="200" fontId="25" fillId="20" borderId="6" xfId="0" applyNumberFormat="1" applyFont="1" applyFill="1" applyBorder="1" applyAlignment="1">
      <x:alignment horizontal="center"/>
    </x:xf>
    <x:xf numFmtId="200" fontId="25" fillId="20" xfId="0" applyNumberFormat="1" applyFont="1" applyFill="1" applyBorder="0" applyAlignment="1">
      <x:alignment horizontal="center"/>
    </x:xf>
    <x:xf numFmtId="200" fontId="25" fillId="20" borderId="7" xfId="0" applyNumberFormat="1" applyFont="1" applyFill="1" applyBorder="1" applyAlignment="1">
      <x:alignment horizontal="center"/>
    </x:xf>
    <x:xf numFmtId="200" fontId="25" fillId="20" borderId="8" xfId="0" applyNumberFormat="1" applyFont="1" applyFill="1" applyBorder="1" applyAlignment="1">
      <x:alignment horizontal="center"/>
    </x:xf>
    <x:xf numFmtId="200" fontId="25" fillId="20" borderId="11" xfId="0" applyNumberFormat="1" applyFont="1" applyFill="1" applyBorder="1" applyAlignment="1">
      <x:alignment horizontal="center"/>
    </x:xf>
    <x:xf numFmtId="200" fontId="25" fillId="20" borderId="9" xfId="0" applyNumberFormat="1" applyFont="1" applyFill="1" applyBorder="1" applyAlignment="1">
      <x:alignment horizontal="center"/>
    </x:xf>
    <x:xf numFmtId="200" fontId="25" fillId="20" borderId="4" xfId="0" applyNumberFormat="1" applyFont="1" applyFill="1" applyBorder="1" applyAlignment="1">
      <x:alignment horizontal="center" vertical="center"/>
    </x:xf>
    <x:xf numFmtId="200" fontId="25" fillId="20" borderId="10" xfId="0" applyNumberFormat="1" applyFont="1" applyFill="1" applyBorder="1" applyAlignment="1">
      <x:alignment horizontal="center" vertical="center"/>
    </x:xf>
    <x:xf numFmtId="200" fontId="25" fillId="20" borderId="5" xfId="0" applyNumberFormat="1" applyFont="1" applyFill="1" applyBorder="1" applyAlignment="1">
      <x:alignment horizontal="center" vertical="center"/>
    </x:xf>
    <x:xf numFmtId="200" fontId="25" fillId="20" borderId="6" xfId="0" applyNumberFormat="1" applyFont="1" applyFill="1" applyBorder="1" applyAlignment="1">
      <x:alignment horizontal="center" vertical="center"/>
    </x:xf>
    <x:xf numFmtId="200" fontId="25" fillId="20" xfId="0" applyNumberFormat="1" applyFont="1" applyFill="1" applyBorder="0" applyAlignment="1">
      <x:alignment horizontal="center" vertical="center"/>
    </x:xf>
    <x:xf numFmtId="200" fontId="25" fillId="20" borderId="7" xfId="0" applyNumberFormat="1" applyFont="1" applyFill="1" applyBorder="1" applyAlignment="1">
      <x:alignment horizontal="center" vertical="center"/>
    </x:xf>
    <x:xf numFmtId="200" fontId="25" fillId="20" borderId="8" xfId="0" applyNumberFormat="1" applyFont="1" applyFill="1" applyBorder="1" applyAlignment="1">
      <x:alignment horizontal="center" vertical="center"/>
    </x:xf>
    <x:xf numFmtId="200" fontId="25" fillId="20" borderId="11" xfId="0" applyNumberFormat="1" applyFont="1" applyFill="1" applyBorder="1" applyAlignment="1">
      <x:alignment horizontal="center" vertical="center"/>
    </x:xf>
    <x:xf numFmtId="200" fontId="25" fillId="20" borderId="9" xfId="0" applyNumberFormat="1" applyFont="1" applyFill="1" applyBorder="1" applyAlignment="1">
      <x:alignment horizontal="center" vertical="center"/>
    </x:xf>
    <x:xf numFmtId="0" fontId="17" fillId="21" borderId="0" xfId="0" applyNumberFormat="1" applyFont="1" applyFill="1" applyBorder="1"/>
    <x:xf numFmtId="0" fontId="19" fillId="21" borderId="0" xfId="0" applyNumberFormat="1" applyFont="1" applyFill="1" applyBorder="1"/>
    <x:xf numFmtId="0" fontId="19" fillId="21" borderId="0" xfId="0" applyNumberFormat="1" applyFont="1" applyFill="1" applyBorder="1" applyAlignment="1">
      <x:alignment wrapText="1"/>
    </x:xf>
    <x:xf numFmtId="0" fontId="19" fillId="21" borderId="0" xfId="0" applyNumberFormat="1" applyFont="1" applyFill="1" applyBorder="1" applyAlignment="1">
      <x:alignment horizontal="center" wrapText="1"/>
    </x:xf>
    <x:xf numFmtId="0" fontId="19" fillId="21" borderId="0" xfId="0" applyNumberFormat="1" applyFont="1" applyFill="1" applyBorder="1" applyAlignment="1">
      <x:alignment horizontal="center" vertical="center" wrapText="1"/>
    </x:xf>
    <x:xf numFmtId="0" fontId="24" fillId="20" borderId="0" xfId="0" applyNumberFormat="1" applyFont="1" applyFill="1" applyBorder="1"/>
    <x:xf numFmtId="0" fontId="24" fillId="20" borderId="4" xfId="0" applyNumberFormat="1" applyFont="1" applyFill="1" applyBorder="1"/>
    <x:xf numFmtId="0" fontId="24" fillId="20" borderId="10" xfId="0" applyNumberFormat="1" applyFont="1" applyFill="1" applyBorder="1"/>
    <x:xf numFmtId="0" fontId="24" fillId="20" borderId="5" xfId="0" applyNumberFormat="1" applyFont="1" applyFill="1" applyBorder="1"/>
    <x:xf numFmtId="0" fontId="24" fillId="20" borderId="6" xfId="0" applyNumberFormat="1" applyFont="1" applyFill="1" applyBorder="1"/>
    <x:xf numFmtId="0" fontId="24" fillId="20" xfId="0" applyNumberFormat="1" applyFont="1" applyFill="1" applyBorder="0"/>
    <x:xf numFmtId="0" fontId="24" fillId="20" borderId="7" xfId="0" applyNumberFormat="1" applyFont="1" applyFill="1" applyBorder="1"/>
    <x:xf numFmtId="0" fontId="24" fillId="20" borderId="8" xfId="0" applyNumberFormat="1" applyFont="1" applyFill="1" applyBorder="1"/>
    <x:xf numFmtId="0" fontId="24" fillId="20" borderId="11" xfId="0" applyNumberFormat="1" applyFont="1" applyFill="1" applyBorder="1"/>
    <x:xf numFmtId="0" fontId="24" fillId="20" borderId="9" xfId="0" applyNumberFormat="1" applyFont="1" applyFill="1" applyBorder="1"/>
    <x:xf numFmtId="200" fontId="24" fillId="20" borderId="4" xfId="0" applyNumberFormat="1" applyFont="1" applyFill="1" applyBorder="1"/>
    <x:xf numFmtId="200" fontId="24" fillId="20" borderId="10" xfId="0" applyNumberFormat="1" applyFont="1" applyFill="1" applyBorder="1"/>
    <x:xf numFmtId="200" fontId="24" fillId="20" borderId="5" xfId="0" applyNumberFormat="1" applyFont="1" applyFill="1" applyBorder="1"/>
    <x:xf numFmtId="200" fontId="24" fillId="20" borderId="6" xfId="0" applyNumberFormat="1" applyFont="1" applyFill="1" applyBorder="1"/>
    <x:xf numFmtId="200" fontId="24" fillId="20" xfId="0" applyNumberFormat="1" applyFont="1" applyFill="1" applyBorder="0"/>
    <x:xf numFmtId="200" fontId="24" fillId="20" borderId="7" xfId="0" applyNumberFormat="1" applyFont="1" applyFill="1" applyBorder="1"/>
    <x:xf numFmtId="200" fontId="24" fillId="20" borderId="8" xfId="0" applyNumberFormat="1" applyFont="1" applyFill="1" applyBorder="1"/>
    <x:xf numFmtId="200" fontId="24" fillId="20" borderId="11" xfId="0" applyNumberFormat="1" applyFont="1" applyFill="1" applyBorder="1"/>
    <x:xf numFmtId="200" fontId="24" fillId="20" borderId="9" xfId="0" applyNumberFormat="1" applyFont="1" applyFill="1" applyBorder="1"/>
    <x:xf numFmtId="200" fontId="24" fillId="20" borderId="4" xfId="0" applyNumberFormat="1" applyFont="1" applyFill="1" applyBorder="1" applyAlignment="1">
      <x:alignment horizontal="center"/>
    </x:xf>
    <x:xf numFmtId="200" fontId="24" fillId="20" borderId="10" xfId="0" applyNumberFormat="1" applyFont="1" applyFill="1" applyBorder="1" applyAlignment="1">
      <x:alignment horizontal="center"/>
    </x:xf>
    <x:xf numFmtId="200" fontId="24" fillId="20" borderId="5" xfId="0" applyNumberFormat="1" applyFont="1" applyFill="1" applyBorder="1" applyAlignment="1">
      <x:alignment horizontal="center"/>
    </x:xf>
    <x:xf numFmtId="200" fontId="24" fillId="20" borderId="6" xfId="0" applyNumberFormat="1" applyFont="1" applyFill="1" applyBorder="1" applyAlignment="1">
      <x:alignment horizontal="center"/>
    </x:xf>
    <x:xf numFmtId="200" fontId="24" fillId="20" xfId="0" applyNumberFormat="1" applyFont="1" applyFill="1" applyBorder="0" applyAlignment="1">
      <x:alignment horizontal="center"/>
    </x:xf>
    <x:xf numFmtId="200" fontId="24" fillId="20" borderId="7" xfId="0" applyNumberFormat="1" applyFont="1" applyFill="1" applyBorder="1" applyAlignment="1">
      <x:alignment horizontal="center"/>
    </x:xf>
    <x:xf numFmtId="200" fontId="24" fillId="20" borderId="8" xfId="0" applyNumberFormat="1" applyFont="1" applyFill="1" applyBorder="1" applyAlignment="1">
      <x:alignment horizontal="center"/>
    </x:xf>
    <x:xf numFmtId="200" fontId="24" fillId="20" borderId="11" xfId="0" applyNumberFormat="1" applyFont="1" applyFill="1" applyBorder="1" applyAlignment="1">
      <x:alignment horizontal="center"/>
    </x:xf>
    <x:xf numFmtId="200" fontId="24" fillId="20" borderId="9" xfId="0" applyNumberFormat="1" applyFont="1" applyFill="1" applyBorder="1" applyAlignment="1">
      <x:alignment horizontal="center"/>
    </x:xf>
    <x:xf numFmtId="200" fontId="24" fillId="20" borderId="4" xfId="0" applyNumberFormat="1" applyFont="1" applyFill="1" applyBorder="1" applyAlignment="1">
      <x:alignment horizontal="center" vertical="center"/>
    </x:xf>
    <x:xf numFmtId="200" fontId="24" fillId="20" borderId="10" xfId="0" applyNumberFormat="1" applyFont="1" applyFill="1" applyBorder="1" applyAlignment="1">
      <x:alignment horizontal="center" vertical="center"/>
    </x:xf>
    <x:xf numFmtId="200" fontId="24" fillId="20" borderId="5" xfId="0" applyNumberFormat="1" applyFont="1" applyFill="1" applyBorder="1" applyAlignment="1">
      <x:alignment horizontal="center" vertical="center"/>
    </x:xf>
    <x:xf numFmtId="200" fontId="24" fillId="20" borderId="6" xfId="0" applyNumberFormat="1" applyFont="1" applyFill="1" applyBorder="1" applyAlignment="1">
      <x:alignment horizontal="center" vertical="center"/>
    </x:xf>
    <x:xf numFmtId="200" fontId="24" fillId="20" xfId="0" applyNumberFormat="1" applyFont="1" applyFill="1" applyBorder="0" applyAlignment="1">
      <x:alignment horizontal="center" vertical="center"/>
    </x:xf>
    <x:xf numFmtId="200" fontId="24" fillId="20" borderId="7" xfId="0" applyNumberFormat="1" applyFont="1" applyFill="1" applyBorder="1" applyAlignment="1">
      <x:alignment horizontal="center" vertical="center"/>
    </x:xf>
    <x:xf numFmtId="200" fontId="24" fillId="20" borderId="8" xfId="0" applyNumberFormat="1" applyFont="1" applyFill="1" applyBorder="1" applyAlignment="1">
      <x:alignment horizontal="center" vertical="center"/>
    </x:xf>
    <x:xf numFmtId="200" fontId="24" fillId="20" borderId="11" xfId="0" applyNumberFormat="1" applyFont="1" applyFill="1" applyBorder="1" applyAlignment="1">
      <x:alignment horizontal="center" vertical="center"/>
    </x:xf>
    <x:xf numFmtId="200" fontId="24" fillId="20" borderId="9" xfId="0" applyNumberFormat="1" applyFont="1" applyFill="1" applyBorder="1" applyAlignment="1">
      <x:alignment horizontal="center" vertical="center"/>
    </x:xf>
    <x:xf numFmtId="0" fontId="17" fillId="22" borderId="0" xfId="0" applyNumberFormat="1" applyFont="1" applyFill="1" applyBorder="1"/>
    <x:xf numFmtId="0" fontId="26" fillId="22" borderId="0" xfId="0" applyNumberFormat="1" applyFont="1" applyFill="1" applyBorder="1"/>
    <x:xf numFmtId="0" fontId="26" fillId="22" borderId="4" xfId="0" applyNumberFormat="1" applyFont="1" applyFill="1" applyBorder="1"/>
    <x:xf numFmtId="0" fontId="26" fillId="22" borderId="10" xfId="0" applyNumberFormat="1" applyFont="1" applyFill="1" applyBorder="1"/>
    <x:xf numFmtId="0" fontId="26" fillId="22" borderId="5" xfId="0" applyNumberFormat="1" applyFont="1" applyFill="1" applyBorder="1"/>
    <x:xf numFmtId="0" fontId="26" fillId="22" borderId="8" xfId="0" applyNumberFormat="1" applyFont="1" applyFill="1" applyBorder="1"/>
    <x:xf numFmtId="0" fontId="26" fillId="22" borderId="11" xfId="0" applyNumberFormat="1" applyFont="1" applyFill="1" applyBorder="1"/>
    <x:xf numFmtId="0" fontId="26" fillId="22" borderId="9" xfId="0" applyNumberFormat="1" applyFont="1" applyFill="1" applyBorder="1"/>
    <x:xf numFmtId="0" fontId="26" fillId="22" borderId="4" xfId="0" applyNumberFormat="1" applyFont="1" applyFill="1" applyBorder="1" applyAlignment="1">
      <x:alignment wrapText="1"/>
    </x:xf>
    <x:xf numFmtId="0" fontId="26" fillId="22" borderId="10" xfId="0" applyNumberFormat="1" applyFont="1" applyFill="1" applyBorder="1" applyAlignment="1">
      <x:alignment wrapText="1"/>
    </x:xf>
    <x:xf numFmtId="0" fontId="26" fillId="22" borderId="5" xfId="0" applyNumberFormat="1" applyFont="1" applyFill="1" applyBorder="1" applyAlignment="1">
      <x:alignment wrapText="1"/>
    </x:xf>
    <x:xf numFmtId="0" fontId="26" fillId="22" borderId="8" xfId="0" applyNumberFormat="1" applyFont="1" applyFill="1" applyBorder="1" applyAlignment="1">
      <x:alignment wrapText="1"/>
    </x:xf>
    <x:xf numFmtId="0" fontId="26" fillId="22" borderId="11" xfId="0" applyNumberFormat="1" applyFont="1" applyFill="1" applyBorder="1" applyAlignment="1">
      <x:alignment wrapText="1"/>
    </x:xf>
    <x:xf numFmtId="0" fontId="26" fillId="22" borderId="9" xfId="0" applyNumberFormat="1" applyFont="1" applyFill="1" applyBorder="1" applyAlignment="1">
      <x:alignment wrapText="1"/>
    </x:xf>
    <x:xf numFmtId="0" fontId="26" fillId="22" borderId="4" xfId="0" applyNumberFormat="1" applyFont="1" applyFill="1" applyBorder="1" applyAlignment="1">
      <x:alignment horizontal="center" wrapText="1"/>
    </x:xf>
    <x:xf numFmtId="0" fontId="26" fillId="22" borderId="10" xfId="0" applyNumberFormat="1" applyFont="1" applyFill="1" applyBorder="1" applyAlignment="1">
      <x:alignment horizontal="center" wrapText="1"/>
    </x:xf>
    <x:xf numFmtId="0" fontId="26" fillId="22" borderId="5" xfId="0" applyNumberFormat="1" applyFont="1" applyFill="1" applyBorder="1" applyAlignment="1">
      <x:alignment horizontal="center" wrapText="1"/>
    </x:xf>
    <x:xf numFmtId="0" fontId="26" fillId="22" borderId="8" xfId="0" applyNumberFormat="1" applyFont="1" applyFill="1" applyBorder="1" applyAlignment="1">
      <x:alignment horizontal="center" wrapText="1"/>
    </x:xf>
    <x:xf numFmtId="0" fontId="26" fillId="22" borderId="11" xfId="0" applyNumberFormat="1" applyFont="1" applyFill="1" applyBorder="1" applyAlignment="1">
      <x:alignment horizontal="center" wrapText="1"/>
    </x:xf>
    <x:xf numFmtId="0" fontId="26" fillId="22" borderId="9" xfId="0" applyNumberFormat="1" applyFont="1" applyFill="1" applyBorder="1" applyAlignment="1">
      <x:alignment horizontal="center" wrapText="1"/>
    </x:xf>
    <x:xf numFmtId="0" fontId="26" fillId="22" borderId="4" xfId="0" applyNumberFormat="1" applyFont="1" applyFill="1" applyBorder="1" applyAlignment="1">
      <x:alignment horizontal="center" vertical="center" wrapText="1"/>
    </x:xf>
    <x:xf numFmtId="0" fontId="26" fillId="22" borderId="10" xfId="0" applyNumberFormat="1" applyFont="1" applyFill="1" applyBorder="1" applyAlignment="1">
      <x:alignment horizontal="center" vertical="center" wrapText="1"/>
    </x:xf>
    <x:xf numFmtId="0" fontId="26" fillId="22" borderId="5" xfId="0" applyNumberFormat="1" applyFont="1" applyFill="1" applyBorder="1" applyAlignment="1">
      <x:alignment horizontal="center" vertical="center" wrapText="1"/>
    </x:xf>
    <x:xf numFmtId="0" fontId="26" fillId="22" borderId="8" xfId="0" applyNumberFormat="1" applyFont="1" applyFill="1" applyBorder="1" applyAlignment="1">
      <x:alignment horizontal="center" vertical="center" wrapText="1"/>
    </x:xf>
    <x:xf numFmtId="0" fontId="26" fillId="22" borderId="11" xfId="0" applyNumberFormat="1" applyFont="1" applyFill="1" applyBorder="1" applyAlignment="1">
      <x:alignment horizontal="center" vertical="center" wrapText="1"/>
    </x:xf>
    <x:xf numFmtId="0" fontId="26" fillId="22" borderId="9" xfId="0" applyNumberFormat="1" applyFont="1" applyFill="1" applyBorder="1" applyAlignment="1">
      <x:alignment horizontal="center" vertical="center" wrapText="1"/>
    </x:xf>
    <x:xf numFmtId="0" fontId="15" fillId="18" borderId="0" xfId="0" applyNumberFormat="1" applyFont="1" applyFill="1" applyBorder="1" applyAlignment="1">
      <x:alignment vertical="center"/>
    </x:xf>
    <x:xf numFmtId="0" fontId="0" fillId="18" borderId="0" xfId="0" applyNumberFormat="1" applyFont="1" applyFill="1" applyBorder="1"/>
    <x:xf numFmtId="0" fontId="15" fillId="18" borderId="0" xfId="0" applyNumberFormat="1" applyFont="1" applyFill="1" applyBorder="1"/>
    <x:xf numFmtId="0" fontId="2" fillId="18" borderId="0" xfId="0" applyNumberFormat="1" applyFont="1" applyFill="1" applyBorder="1"/>
    <x:xf numFmtId="0" fontId="2" fillId="18" borderId="0" xfId="0" applyNumberFormat="1" applyFont="1" applyFill="1" applyBorder="1" applyAlignment="1">
      <x:alignment vertical="center"/>
    </x:xf>
    <x:xf numFmtId="0" fontId="16" fillId="23" borderId="0" xfId="0" applyNumberFormat="1" applyFont="1" applyFill="1" applyBorder="1" applyAlignment="1">
      <x:alignment vertical="center"/>
    </x:xf>
    <x:xf numFmtId="0" fontId="17" fillId="23" borderId="0" xfId="0" applyNumberFormat="1" applyFont="1" applyFill="1" applyBorder="1"/>
    <x:xf numFmtId="0" fontId="0" fillId="23" borderId="0" xfId="0" applyNumberFormat="1" applyFont="1" applyFill="1" applyBorder="1"/>
    <x:xf numFmtId="0" fontId="16" fillId="23" borderId="0" xfId="0" applyNumberFormat="1" applyFont="1" applyFill="1" applyBorder="1"/>
    <x:xf numFmtId="0" fontId="3" fillId="23" borderId="0" xfId="0" applyNumberFormat="1" applyFont="1" applyFill="1" applyBorder="1"/>
    <x:xf numFmtId="0" fontId="3" fillId="23" borderId="0" xfId="0" applyNumberFormat="1" applyFont="1" applyFill="1" applyBorder="1" applyAlignment="1">
      <x:alignment vertical="center"/>
    </x:xf>
    <x:xf numFmtId="0" fontId="36" fillId="18" borderId="0" xfId="0" applyNumberFormat="1" applyFont="1" applyFill="1" applyBorder="1" applyAlignment="1">
      <x:alignment horizontal="center" wrapText="1"/>
    </x:xf>
    <x:xf numFmtId="0" fontId="38" fillId="18" borderId="0" xfId="0" applyNumberFormat="1" applyFont="1" applyFill="1" applyBorder="1"/>
    <x:xf numFmtId="0" fontId="38" fillId="18" borderId="0" xfId="0" applyNumberFormat="1" applyFont="1" applyFill="1" applyBorder="1" applyAlignment="1">
      <x:alignment wrapText="1"/>
    </x:xf>
    <x:xf numFmtId="0" fontId="38" fillId="18" borderId="0" xfId="0" applyNumberFormat="1" applyFont="1" applyFill="1" applyBorder="1" applyAlignment="1">
      <x:alignment horizontal="center" wrapText="1"/>
    </x:xf>
    <x:xf numFmtId="0" fontId="39" fillId="23" borderId="0" xfId="0" applyNumberFormat="1" applyFont="1" applyFill="1" applyBorder="1"/>
    <x:xf numFmtId="0" fontId="39" fillId="23" borderId="0" xfId="0" applyNumberFormat="1" applyFont="1" applyFill="1" applyBorder="1" applyAlignment="1">
      <x:alignment wrapText="1"/>
    </x:xf>
    <x:xf numFmtId="0" fontId="39" fillId="2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color rgb="FFC62828"/>
      </x:font>
      <x:fill>
        <x:patternFill>
          <x:bgColor rgb="FFFDECEC"/>
        </x:patternFill>
      </x:fill>
    </x:dxf>
    <x:dxf>
      <x:font>
        <x:b/>
        <x:color rgb="FF14866D"/>
      </x:font>
      <x:fill>
        <x:patternFill>
          <x:bgColor rgb="FFE8F5F1"/>
        </x:patternFill>
      </x:fill>
    </x:dxf>
    <x:dxf>
      <x:font>
        <x:b/>
        <x:color rgb="FFC62828"/>
      </x:font>
      <x:fill>
        <x:patternFill>
          <x:bgColor rgb="FFFDECEC"/>
        </x:patternFill>
      </x:fill>
    </x:dxf>
    <x:dxf>
      <x:font>
        <x:color rgb="FFC62828"/>
      </x:font>
      <x:fill>
        <x:patternFill>
          <x:bgColor rgb="FFFDECEC"/>
        </x:patternFill>
      </x:fill>
    </x:dxf>
    <x:dxf>
      <x:font>
        <x:b/>
        <x:color rgb="FF14866D"/>
      </x:font>
      <x:fill>
        <x:patternFill>
          <x:bgColor rgb="FFE8F5F1"/>
        </x:patternFill>
      </x:fill>
    </x:dxf>
    <x:dxf>
      <x:font>
        <x:b/>
        <x:color rgb="FFC62828"/>
      </x:font>
      <x:fill>
        <x:patternFill>
          <x:bgColor rgb="FFFDECEC"/>
        </x:patternFill>
      </x:fill>
    </x:dxf>
    <x:dxf>
      <x:font>
        <x:b/>
        <x:color rgb="FF172B4D"/>
      </x:font>
      <x:fill>
        <x:patternFill>
          <x:bgColor rgb="FFFFF7D6"/>
        </x:patternFill>
      </x:fill>
    </x:dxf>
    <x:dxf>
      <x:font>
        <x:color rgb="FF14866D"/>
      </x:font>
      <x:fill>
        <x:patternFill patternType="solid">
          <x:bgColor rgb="FFE8F5F1"/>
        </x:patternFill>
      </x:fill>
    </x:dxf>
    <x:dxf>
      <x:font>
        <x:color rgb="FFC6282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94d6487ac4416" /><Relationship Type="http://schemas.openxmlformats.org/officeDocument/2006/relationships/theme" Target="/xl/theme/theme1.xml" Id="R45af726b54814ba3" /><Relationship Type="http://schemas.openxmlformats.org/officeDocument/2006/relationships/sharedStrings" Target="/xl/sharedStrings.xml" Id="R61bc88a263d44302" /><Relationship Type="http://schemas.openxmlformats.org/officeDocument/2006/relationships/worksheet" Target="/xl/worksheets/sheet1.xml" Id="Rb2dc3f9b935742e2" /><Relationship Type="http://schemas.openxmlformats.org/officeDocument/2006/relationships/worksheet" Target="/xl/worksheets/sheet2.xml" Id="R93cf09cf88e14067" /><Relationship Type="http://schemas.openxmlformats.org/officeDocument/2006/relationships/worksheet" Target="/xl/worksheets/sheet3.xml" Id="R0c8437975c324eae" /><Relationship Type="http://schemas.microsoft.com/office/2017/10/relationships/person" Target="/xl/persons/person.xml" Id="Rc34aefe916d04d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47762c86064468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d4ccf4e30b104262" /><Relationship Type="http://schemas.openxmlformats.org/officeDocument/2006/relationships/chart" Target="/xl/drawings/charts/chart3.xml" Id="Rd236e929ee9844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売却年時点の税引前最終損益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税引前最終損益</c:v>
          </c:tx>
          <c:cat>
            <c:strRef>
              <c:f>'診断'!$F$28:$F$30</c:f>
              <c:strCache>
                <c:ptCount val="0"/>
              </c:strCache>
            </c:strRef>
          </c:cat>
          <c:val>
            <c:numRef>
              <c:f>'診断'!$G$28:$G$30</c:f>
              <c:numCache>
                <c:formatCode>#,##0"円";[Red]-#,##0"円";－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百万円&quot;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年間CF｜税引前と税引後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税引前CF</c:v>
          </c:tx>
          <c:spPr>
            <a:solidFill xmlns:a="http://schemas.openxmlformats.org/drawingml/2006/main">
              <a:srgbClr val="C62828"/>
            </a:solidFill>
          </c:spPr>
          <c:marker>
            <c:symbol val="none"/>
          </c:marker>
          <c:cat>
            <c:strRef>
              <c:f>'年次推移'!$A$25:$A$59</c:f>
              <c:strCache>
                <c:ptCount val="0"/>
              </c:strCache>
            </c:strRef>
          </c:cat>
          <c:val>
            <c:numRef>
              <c:f>'年次推移'!$F$25:$F$59</c:f>
              <c:numCache>
                <c:formatCode>0.0,,"百万円"</c:formatCode>
                <c:ptCount val="0"/>
              </c:numCache>
            </c:numRef>
          </c:val>
          <c:smooth val="0"/>
        </c:ser>
        <c:ser>
          <c:idx val="1"/>
          <c:order val="1"/>
          <c:tx>
            <c:v>税引後CF</c:v>
          </c:tx>
          <c:spPr>
            <a:solidFill xmlns:a="http://schemas.openxmlformats.org/drawingml/2006/main">
              <a:srgbClr val="14866D"/>
            </a:solidFill>
          </c:spPr>
          <c:marker>
            <c:symbol val="none"/>
          </c:marker>
          <c:cat>
            <c:strRef>
              <c:f>'年次推移'!$A$25:$A$59</c:f>
              <c:strCache>
                <c:ptCount val="0"/>
              </c:strCache>
            </c:strRef>
          </c:cat>
          <c:val>
            <c:numRef>
              <c:f>'年次推移'!$L$25:$L$59</c:f>
              <c:numCache>
                <c:formatCode>0.0,,"百万円"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百万円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ローン残債と推定売却価格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ローン残債</c:v>
          </c:tx>
          <c:spPr>
            <a:solidFill xmlns:a="http://schemas.openxmlformats.org/drawingml/2006/main">
              <a:srgbClr val="1F5A85"/>
            </a:solidFill>
          </c:spPr>
          <c:marker>
            <c:symbol val="none"/>
          </c:marker>
          <c:cat>
            <c:strRef>
              <c:f>'年次推移'!$A$25:$A$59</c:f>
              <c:strCache>
                <c:ptCount val="0"/>
              </c:strCache>
            </c:strRef>
          </c:cat>
          <c:val>
            <c:numRef>
              <c:f>'年次推移'!$I$25:$I$59</c:f>
              <c:numCache>
                <c:formatCode>0.0,,"百万円"</c:formatCode>
                <c:ptCount val="0"/>
              </c:numCache>
            </c:numRef>
          </c:val>
          <c:smooth val="0"/>
        </c:ser>
        <c:ser>
          <c:idx val="1"/>
          <c:order val="1"/>
          <c:tx>
            <c:v>推定売却価格</c:v>
          </c:tx>
          <c:spPr>
            <a:solidFill xmlns:a="http://schemas.openxmlformats.org/drawingml/2006/main">
              <a:srgbClr val="14866D"/>
            </a:solidFill>
          </c:spPr>
          <c:marker>
            <c:symbol val="none"/>
          </c:marker>
          <c:cat>
            <c:strRef>
              <c:f>'年次推移'!$A$25:$A$59</c:f>
              <c:strCache>
                <c:ptCount val="0"/>
              </c:strCache>
            </c:strRef>
          </c:cat>
          <c:val>
            <c:numRef>
              <c:f>'年次推移'!$J$25:$J$59</c:f>
              <c:numCache>
                <c:formatCode>0.0,,"百万円"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百万円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26</xdr:row>
      <xdr:rowOff>0</xdr:rowOff>
    </xdr:from>
    <xdr:to>
      <xdr:col>12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7762c86064468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6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ccf4e30b104262"/>
        </a:graphicData>
      </a:graphic>
    </xdr:graphicFrame>
    <xdr:clientData/>
  </xdr:twoCellAnchor>
  <xdr:twoCellAnchor>
    <xdr:from>
      <xdr:col>6</xdr:col>
      <xdr:colOff>0</xdr:colOff>
      <xdr:row>5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36e929ee98448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hiroki ueda" id="{0E21FAB4-482A-4370-9E48-E36E17052287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9" dT="2026-09-03T11:59:05.971" personId="{0E21FAB4-482A-4370-9E48-E36E17052287}" id="{38AAFEDD-6EF9-4912-9976-A15F5188D5BC}">
    <xltc:text>年間家賃下落率は将来予測ではなく、比較用の仮定です。</xltc:text>
  </xltc:threadedComment>
  <xltc:threadedComment ref="C24" dT="2026-09-03T11:59:05.971" personId="{0E21FAB4-482A-4370-9E48-E36E17052287}" id="{B629D5A6-3B08-4EA7-9429-E8B3F895B281}">
    <xltc:text>仲介手数料等を含む概算率です。実際の見積書へ差し替えてください。</xltc:text>
  </xltc:threadedComment>
  <xltc:threadedComment ref="H13" dT="2026-09-03T11:59:05.971" personId="{0E21FAB4-482A-4370-9E48-E36E17052287}" id="{2F29D9A6-03BE-4EE6-9913-E59B845AE46E}">
    <xltc:text>税引前最終損益＝売却後手取り＋累積CF－購入時自己資金。税効果と譲渡所得税は本試作では含めていません。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eecbeff65c64f22" /><Relationship Type="http://schemas.openxmlformats.org/officeDocument/2006/relationships/vmlDrawing" Target="/xl/drawings/vmldrawing.vml" Id="R77781e7db66e41f4" /><Relationship Type="http://schemas.microsoft.com/office/2017/10/relationships/threadedComment" Target="/xl/threadedcomments/threadedcomment.xml" Id="R849933e1e6054e43" /><Relationship Type="http://schemas.openxmlformats.org/officeDocument/2006/relationships/drawing" Target="/xl/drawings/drawing1.xml" Id="R0f053321985c4f7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0f3cd64c2af443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7" hidden="0" customWidth="1"/>
    <x:col min="3" max="3" width="16" hidden="0" customWidth="1"/>
    <x:col min="4" max="4" width="11" hidden="0" customWidth="1"/>
    <x:col min="5" max="5" width="11" hidden="0" customWidth="1"/>
    <x:col min="6" max="6" width="2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7" customHeight="1">
      <x:c r="A1" s="194" t="str">
        <x:v>S</x:v>
      </x:c>
      <x:c r="B1" s="195" t="str">
        <x:v>Smart Select｜不動産投資シミュレーター（第3試作）</x:v>
      </x:c>
      <x:c r="C1" s="195"/>
      <x:c r="D1" s="195"/>
      <x:c r="E1" s="195"/>
      <x:c r="F1" s="195"/>
      <x:c r="G1" s="195"/>
      <x:c r="H1" s="195"/>
      <x:c r="I1" s="195"/>
      <x:c r="J1" s="195"/>
      <x:c r="K1" s="195"/>
      <x:c r="L1" s="195"/>
    </x:row>
    <x:row r="2" ht="27" customHeight="1">
      <x:c r="A2" s="194"/>
      <x:c r="B2" s="195"/>
      <x:c r="C2" s="195"/>
      <x:c r="D2" s="195"/>
      <x:c r="E2" s="195"/>
      <x:c r="F2" s="195"/>
      <x:c r="G2" s="195"/>
      <x:c r="H2" s="195"/>
      <x:c r="I2" s="195"/>
      <x:c r="J2" s="195"/>
      <x:c r="K2" s="195"/>
      <x:c r="L2" s="195"/>
    </x:row>
    <x:row r="3" ht="27" customHeight="1">
      <x:c r="A3" s="196" t="str">
        <x:v>非公開の壁打ち用です。現金額は1円単位で表示し、税効果は年間・累積・売却時に分けています。</x:v>
      </x:c>
      <x:c r="B3" s="196"/>
      <x:c r="C3" s="196"/>
      <x:c r="D3" s="196"/>
      <x:c r="E3" s="196"/>
      <x:c r="F3" s="196"/>
      <x:c r="G3" s="196"/>
      <x:c r="H3" s="196"/>
      <x:c r="I3" s="196"/>
      <x:c r="J3" s="196"/>
      <x:c r="K3" s="196"/>
      <x:c r="L3" s="196"/>
    </x:row>
    <x:row r="4">
      <x:c r="A4" s="197"/>
      <x:c r="B4" s="197"/>
      <x:c r="C4" s="197"/>
      <x:c r="D4" s="197"/>
      <x:c r="E4" s="197"/>
      <x:c r="F4" s="197"/>
      <x:c r="G4" s="197"/>
      <x:c r="H4" s="197"/>
      <x:c r="I4" s="197"/>
      <x:c r="J4" s="197"/>
      <x:c r="K4" s="197"/>
      <x:c r="L4" s="197"/>
    </x:row>
    <x:row r="5">
      <x:c r="A5" s="198" t="str">
        <x:v>1  基本条件｜最初に入力する10項目</x:v>
      </x:c>
      <x:c r="B5" s="198"/>
      <x:c r="C5" s="198"/>
      <x:c r="D5" s="198"/>
      <x:c r="E5" s="197"/>
      <x:c r="F5" s="198" t="str">
        <x:v>まず確認する数字｜標準シナリオ</x:v>
      </x:c>
      <x:c r="G5" s="198"/>
      <x:c r="H5" s="198"/>
      <x:c r="I5" s="198"/>
      <x:c r="J5" s="198"/>
      <x:c r="K5" s="198"/>
      <x:c r="L5" s="198"/>
    </x:row>
    <x:row r="6" ht="22" customHeight="1">
      <x:c r="A6" s="199" t="str">
        <x:v>区分</x:v>
      </x:c>
      <x:c r="B6" s="199" t="str">
        <x:v>入力項目</x:v>
      </x:c>
      <x:c r="C6" s="199" t="str">
        <x:v>入力値</x:v>
      </x:c>
      <x:c r="D6" s="199" t="str">
        <x:v>単位</x:v>
      </x:c>
      <x:c r="E6" s="197"/>
      <x:c r="F6" s="200" t="str">
        <x:v>月間キャッシュフロー</x:v>
      </x:c>
      <x:c r="G6" s="200"/>
      <x:c r="H6" s="201" t="str">
        <x:v>売却年までの投入現金</x:v>
      </x:c>
      <x:c r="I6" s="201"/>
      <x:c r="J6" s="201" t="str">
        <x:v>売却年までの元本減少</x:v>
      </x:c>
      <x:c r="K6" s="201"/>
      <x:c r="L6" s="201"/>
    </x:row>
    <x:row r="7" ht="22" customHeight="1">
      <x:c r="A7" s="202" t="str">
        <x:v>購入</x:v>
      </x:c>
      <x:c r="B7" s="202" t="str">
        <x:v>物件価格</x:v>
      </x:c>
      <x:c r="C7" s="203" t="n">
        <x:v>35000000</x:v>
      </x:c>
      <x:c r="D7" s="204" t="str">
        <x:v>円</x:v>
      </x:c>
      <x:c r="E7" s="197"/>
      <x:c r="F7" s="205" t="n">
        <x:f>ROUND('年次推移'!$F$108/12,0)</x:f>
        <x:v>-35768</x:v>
      </x:c>
      <x:c r="G7" s="206"/>
      <x:c r="H7" s="207" t="n">
        <x:f>ROUND(MAX(0,$C$7+$C$8-$C$9)+INDEX('年次推移'!$H$108:$H$142,$C$16),0)</x:f>
        <x:v>5104738</x:v>
      </x:c>
      <x:c r="I7" s="208"/>
      <x:c r="J7" s="207" t="n">
        <x:f>ROUND($C$9-INDEX('年次推移'!$I$108:$I$142,$C$16),0)</x:f>
        <x:v>8091496</x:v>
      </x:c>
      <x:c r="K7" s="209"/>
      <x:c r="L7" s="208"/>
    </x:row>
    <x:row r="8" ht="22" customHeight="1">
      <x:c r="A8" s="202" t="str">
        <x:v>購入</x:v>
      </x:c>
      <x:c r="B8" s="202" t="str">
        <x:v>購入諸費用</x:v>
      </x:c>
      <x:c r="C8" s="210" t="n">
        <x:v>1500000</x:v>
      </x:c>
      <x:c r="D8" s="204" t="str">
        <x:v>円</x:v>
      </x:c>
      <x:c r="E8" s="197"/>
      <x:c r="F8" s="211"/>
      <x:c r="G8" s="212"/>
      <x:c r="H8" s="213"/>
      <x:c r="I8" s="214"/>
      <x:c r="J8" s="213"/>
      <x:c r="K8" s="215"/>
      <x:c r="L8" s="214"/>
    </x:row>
    <x:row r="9" ht="22" customHeight="1">
      <x:c r="A9" s="202" t="str">
        <x:v>融資</x:v>
      </x:c>
      <x:c r="B9" s="202" t="str">
        <x:v>借入額</x:v>
      </x:c>
      <x:c r="C9" s="210" t="n">
        <x:v>36000000</x:v>
      </x:c>
      <x:c r="D9" s="204" t="str">
        <x:v>円</x:v>
      </x:c>
      <x:c r="E9" s="197"/>
      <x:c r="F9" s="216"/>
      <x:c r="G9" s="217"/>
      <x:c r="H9" s="218"/>
      <x:c r="I9" s="219"/>
      <x:c r="J9" s="218"/>
      <x:c r="K9" s="220"/>
      <x:c r="L9" s="219"/>
    </x:row>
    <x:row r="10" ht="22" customHeight="1">
      <x:c r="A10" s="202" t="str">
        <x:v>融資</x:v>
      </x:c>
      <x:c r="B10" s="202" t="str">
        <x:v>標準金利</x:v>
      </x:c>
      <x:c r="C10" s="221" t="n">
        <x:v>0.018</x:v>
      </x:c>
      <x:c r="D10" s="204" t="str">
        <x:v>%/年</x:v>
      </x:c>
      <x:c r="E10" s="197"/>
      <x:c r="F10" s="242"/>
      <x:c r="G10" s="242"/>
      <x:c r="H10" s="242"/>
      <x:c r="I10" s="242"/>
      <x:c r="J10" s="197"/>
      <x:c r="K10" s="197"/>
      <x:c r="L10" s="197"/>
    </x:row>
    <x:row r="11" ht="22" customHeight="1">
      <x:c r="A11" s="202" t="str">
        <x:v>融資</x:v>
      </x:c>
      <x:c r="B11" s="202" t="str">
        <x:v>返済期間</x:v>
      </x:c>
      <x:c r="C11" s="222" t="n">
        <x:v>35</x:v>
      </x:c>
      <x:c r="D11" s="204" t="str">
        <x:v>年</x:v>
      </x:c>
      <x:c r="E11" s="197"/>
      <x:c r="F11" s="421" t="str">
        <x:v>売却後手取り（税・残債控除後）</x:v>
      </x:c>
      <x:c r="G11" s="421"/>
      <x:c r="H11" s="422" t="str">
        <x:v>税引後最終損益</x:v>
      </x:c>
      <x:c r="I11" s="422"/>
      <x:c r="J11" s="200" t="str">
        <x:v>税引後投資効率</x:v>
      </x:c>
      <x:c r="K11" s="200"/>
      <x:c r="L11" s="200"/>
    </x:row>
    <x:row r="12" ht="22" customHeight="1">
      <x:c r="A12" s="202" t="str">
        <x:v>賃貸</x:v>
      </x:c>
      <x:c r="B12" s="202" t="str">
        <x:v>月額家賃</x:v>
      </x:c>
      <x:c r="C12" s="210" t="n">
        <x:v>130000</x:v>
      </x:c>
      <x:c r="D12" s="204" t="str">
        <x:v>円/月</x:v>
      </x:c>
      <x:c r="E12" s="197"/>
      <x:c r="F12" s="207" t="str">
        <x:f>IF($C$59&lt;&gt;"OK","",ROUND(INDEX('年次推移'!$AE$108:$AE$142,$C$16),0))</x:f>
      </x:c>
      <x:c r="G12" s="208"/>
      <x:c r="H12" s="205" t="str">
        <x:f>IF($C$59&lt;&gt;"OK","",ROUND(INDEX('年次推移'!$AF$108:$AF$142,$C$16),0))</x:f>
      </x:c>
      <x:c r="I12" s="206"/>
      <x:c r="J12" s="223" t="str">
        <x:f>IF($C$59&lt;&gt;"OK","",INDEX('年次推移'!$AF$108:$AF$142,$C$16)/(MAX(0,$C$7+$C$8-$C$9)+INDEX('年次推移'!$H$108:$H$142,$C$16)))</x:f>
      </x:c>
      <x:c r="K12" s="224"/>
      <x:c r="L12" s="225"/>
    </x:row>
    <x:row r="13" ht="22" customHeight="1">
      <x:c r="A13" s="202" t="str">
        <x:v>運営費</x:v>
      </x:c>
      <x:c r="B13" s="202" t="str">
        <x:v>建物管理費</x:v>
      </x:c>
      <x:c r="C13" s="210" t="n">
        <x:v>12000</x:v>
      </x:c>
      <x:c r="D13" s="204" t="str">
        <x:v>円/月</x:v>
      </x:c>
      <x:c r="E13" s="197"/>
      <x:c r="F13" s="213"/>
      <x:c r="G13" s="214"/>
      <x:c r="H13" s="211"/>
      <x:c r="I13" s="212"/>
      <x:c r="J13" s="226"/>
      <x:c r="K13" s="227"/>
      <x:c r="L13" s="228"/>
    </x:row>
    <x:row r="14" ht="22" customHeight="1">
      <x:c r="A14" s="202" t="str">
        <x:v>運営費</x:v>
      </x:c>
      <x:c r="B14" s="202" t="str">
        <x:v>修繕積立金</x:v>
      </x:c>
      <x:c r="C14" s="210" t="n">
        <x:v>8000</x:v>
      </x:c>
      <x:c r="D14" s="204" t="str">
        <x:v>円/月</x:v>
      </x:c>
      <x:c r="E14" s="197"/>
      <x:c r="F14" s="218"/>
      <x:c r="G14" s="219"/>
      <x:c r="H14" s="216"/>
      <x:c r="I14" s="217"/>
      <x:c r="J14" s="229"/>
      <x:c r="K14" s="230"/>
      <x:c r="L14" s="231"/>
    </x:row>
    <x:row r="15" ht="22" customHeight="1">
      <x:c r="A15" s="202" t="str">
        <x:v>運営費</x:v>
      </x:c>
      <x:c r="B15" s="202" t="str">
        <x:v>賃貸管理手数料率</x:v>
      </x:c>
      <x:c r="C15" s="221" t="n">
        <x:v>0.05</x:v>
      </x:c>
      <x:c r="D15" s="204" t="str">
        <x:v>%</x:v>
      </x:c>
      <x:c r="E15" s="197"/>
      <x:c r="F15" s="197"/>
      <x:c r="G15" s="197"/>
      <x:c r="H15" s="197"/>
      <x:c r="I15" s="197"/>
      <x:c r="J15" s="197"/>
      <x:c r="K15" s="197"/>
      <x:c r="L15" s="197"/>
    </x:row>
    <x:row r="16" ht="22" customHeight="1">
      <x:c r="A16" s="202" t="str">
        <x:v>出口</x:v>
      </x:c>
      <x:c r="B16" s="202" t="str">
        <x:v>売却予定年</x:v>
      </x:c>
      <x:c r="C16" s="232" t="n">
        <x:v>10</x:v>
      </x:c>
      <x:c r="D16" s="204" t="str">
        <x:v>年目</x:v>
      </x:c>
      <x:c r="E16" s="197"/>
      <x:c r="F16" s="307" t="str">
        <x:f>IF($C$59="OK","税引後結果：算定済み",IF($C$59="要確認","税引後結果：入力内容を確認してください","税引後結果：算定保留｜建物価格を入力すると表示されます"))</x:f>
        <x:v>税引後結果：算定保留｜建物価格を入力すると表示されます</x:v>
      </x:c>
      <x:c r="G16" s="308"/>
      <x:c r="H16" s="308"/>
      <x:c r="I16" s="308"/>
      <x:c r="J16" s="308"/>
      <x:c r="K16" s="308"/>
      <x:c r="L16" s="309"/>
    </x:row>
    <x:row r="17" ht="22" customHeight="1">
      <x:c r="A17" s="197"/>
      <x:c r="B17" s="197"/>
      <x:c r="C17" s="197"/>
      <x:c r="D17" s="197"/>
      <x:c r="E17" s="197"/>
      <x:c r="F17" s="198" t="str">
        <x:v>低位・標準・高位の比較</x:v>
      </x:c>
      <x:c r="G17" s="198"/>
      <x:c r="H17" s="198"/>
      <x:c r="I17" s="198"/>
      <x:c r="J17" s="198"/>
      <x:c r="K17" s="198"/>
      <x:c r="L17" s="198"/>
    </x:row>
    <x:row r="18" ht="22" customHeight="1">
      <x:c r="A18" s="198" t="str">
        <x:v>2  Smart Select仮定｜必要に応じて変更</x:v>
      </x:c>
      <x:c r="B18" s="198"/>
      <x:c r="C18" s="198"/>
      <x:c r="D18" s="198"/>
      <x:c r="E18" s="197"/>
      <x:c r="F18" s="199" t="str">
        <x:v>重要指標</x:v>
      </x:c>
      <x:c r="G18" s="199" t="str">
        <x:v>低位</x:v>
      </x:c>
      <x:c r="H18" s="199" t="str">
        <x:v>標準</x:v>
      </x:c>
      <x:c r="I18" s="199" t="str">
        <x:v>高位</x:v>
      </x:c>
      <x:c r="J18" s="197"/>
      <x:c r="K18" s="197"/>
      <x:c r="L18" s="197"/>
    </x:row>
    <x:row r="19" ht="22" customHeight="1">
      <x:c r="A19" s="202" t="str">
        <x:v>賃貸</x:v>
      </x:c>
      <x:c r="B19" s="202" t="str">
        <x:v>年間家賃下落率</x:v>
      </x:c>
      <x:c r="C19" s="233" t="n">
        <x:v>0.005</x:v>
      </x:c>
      <x:c r="D19" s="204" t="str">
        <x:v>%/年</x:v>
      </x:c>
      <x:c r="E19" s="197"/>
      <x:c r="F19" s="234" t="str">
        <x:v>初年度の月間CF</x:v>
      </x:c>
      <x:c r="G19" s="235" t="n">
        <x:f>ROUND('年次推移'!$F$68/12,0)</x:f>
        <x:v>-89242</x:v>
      </x:c>
      <x:c r="H19" s="236" t="n">
        <x:f>ROUND('年次推移'!$F$108/12,0)</x:f>
        <x:v>-35768</x:v>
      </x:c>
      <x:c r="I19" s="237" t="n">
        <x:f>ROUND('年次推移'!$F$148/12,0)</x:f>
        <x:v>-35768</x:v>
      </x:c>
      <x:c r="J19" s="197"/>
      <x:c r="K19" s="197"/>
      <x:c r="L19" s="197"/>
    </x:row>
    <x:row r="20" ht="22" customHeight="1">
      <x:c r="A20" s="202" t="str">
        <x:v>賃貸</x:v>
      </x:c>
      <x:c r="B20" s="202" t="str">
        <x:v>標準稼働率</x:v>
      </x:c>
      <x:c r="C20" s="221" t="n">
        <x:v>0.95</x:v>
      </x:c>
      <x:c r="D20" s="204" t="str">
        <x:v>%</x:v>
      </x:c>
      <x:c r="E20" s="197"/>
      <x:c r="F20" s="234" t="str">
        <x:v>投入現金</x:v>
      </x:c>
      <x:c r="G20" s="235" t="n">
        <x:f>ROUND((MAX(0,$C$7+$C$8-$C$9)+INDEX('年次推移'!$H$68:$H$102,$C$16)),0)</x:f>
        <x:v>11457393</x:v>
      </x:c>
      <x:c r="H20" s="236" t="n">
        <x:f>ROUND((MAX(0,$C$7+$C$8-$C$9)+INDEX('年次推移'!$H$108:$H$142,$C$16)),0)</x:f>
        <x:v>5104738</x:v>
      </x:c>
      <x:c r="I20" s="237" t="n">
        <x:f>ROUND((MAX(0,$C$7+$C$8-$C$9)+INDEX('年次推移'!$H$148:$H$182,$C$16)),0)</x:f>
        <x:v>5104738</x:v>
      </x:c>
      <x:c r="J20" s="197"/>
      <x:c r="K20" s="197"/>
      <x:c r="L20" s="197"/>
    </x:row>
    <x:row r="21" ht="22" customHeight="1">
      <x:c r="A21" s="202" t="str">
        <x:v>運営費</x:v>
      </x:c>
      <x:c r="B21" s="202" t="str">
        <x:v>固定資産税・都市計画税</x:v>
      </x:c>
      <x:c r="C21" s="210" t="n">
        <x:v>120000</x:v>
      </x:c>
      <x:c r="D21" s="204" t="str">
        <x:v>円/年</x:v>
      </x:c>
      <x:c r="E21" s="197"/>
      <x:c r="F21" s="234" t="str">
        <x:v>元本減少</x:v>
      </x:c>
      <x:c r="G21" s="235" t="n">
        <x:f>ROUND($C$9-INDEX('年次推移'!$I$68:$I$102,$C$16),0)</x:f>
        <x:v>6992311</x:v>
      </x:c>
      <x:c r="H21" s="236" t="n">
        <x:f>ROUND($C$9-INDEX('年次推移'!$I$108:$I$142,$C$16),0)</x:f>
        <x:v>8091496</x:v>
      </x:c>
      <x:c r="I21" s="237" t="n">
        <x:f>ROUND($C$9-INDEX('年次推移'!$I$148:$I$182,$C$16),0)</x:f>
        <x:v>8091496</x:v>
      </x:c>
      <x:c r="J21" s="197"/>
      <x:c r="K21" s="197"/>
      <x:c r="L21" s="197"/>
    </x:row>
    <x:row r="22" ht="22" customHeight="1">
      <x:c r="A22" s="202" t="str">
        <x:v>運営費</x:v>
      </x:c>
      <x:c r="B22" s="202" t="str">
        <x:v>保険・その他運営費</x:v>
      </x:c>
      <x:c r="C22" s="210" t="n">
        <x:v>40000</x:v>
      </x:c>
      <x:c r="D22" s="204" t="str">
        <x:v>円/年</x:v>
      </x:c>
      <x:c r="E22" s="197"/>
      <x:c r="F22" s="234" t="str">
        <x:v>売却後手取り（譲渡税前）</x:v>
      </x:c>
      <x:c r="G22" s="235" t="n">
        <x:f>ROUND(INDEX('年次推移'!$K$68:$K$102,$C$16),0)</x:f>
        <x:v>-4149569</x:v>
      </x:c>
      <x:c r="H22" s="236" t="n">
        <x:f>ROUND(INDEX('年次推移'!$K$108:$K$142,$C$16),0)</x:f>
        <x:v>2600307</x:v>
      </x:c>
      <x:c r="I22" s="237" t="n">
        <x:f>ROUND(INDEX('年次推移'!$K$148:$K$182,$C$16),0)</x:f>
        <x:v>2600307</x:v>
      </x:c>
      <x:c r="J22" s="197"/>
      <x:c r="K22" s="197"/>
      <x:c r="L22" s="197"/>
    </x:row>
    <x:row r="23" ht="22" customHeight="1">
      <x:c r="A23" s="202" t="str">
        <x:v>運営費</x:v>
      </x:c>
      <x:c r="B23" s="202" t="str">
        <x:v>退去・設備交換の年平均</x:v>
      </x:c>
      <x:c r="C23" s="210" t="n">
        <x:v>50000</x:v>
      </x:c>
      <x:c r="D23" s="204" t="str">
        <x:v>円/年</x:v>
      </x:c>
      <x:c r="E23" s="197"/>
      <x:c r="F23" s="234" t="str">
        <x:v>税引前最終損益</x:v>
      </x:c>
      <x:c r="G23" s="235" t="n">
        <x:f>ROUND((INDEX('年次推移'!$K$68:$K$102,$C$16)+INDEX('年次推移'!$G$68:$G$102,$C$16)-MAX(0,$C$7+$C$8-$C$9)),0)</x:f>
        <x:v>-15606962</x:v>
      </x:c>
      <x:c r="H23" s="236" t="n">
        <x:f>ROUND((INDEX('年次推移'!$K$108:$K$142,$C$16)+INDEX('年次推移'!$G$108:$G$142,$C$16)-MAX(0,$C$7+$C$8-$C$9)),0)</x:f>
        <x:v>-2504431</x:v>
      </x:c>
      <x:c r="I23" s="237" t="n">
        <x:f>ROUND((INDEX('年次推移'!$K$148:$K$182,$C$16)+INDEX('年次推移'!$G$148:$G$182,$C$16)-MAX(0,$C$7+$C$8-$C$9)),0)</x:f>
        <x:v>-2504431</x:v>
      </x:c>
      <x:c r="J23" s="197"/>
      <x:c r="K23" s="197"/>
      <x:c r="L23" s="197"/>
    </x:row>
    <x:row r="24" ht="22" customHeight="1">
      <x:c r="A24" s="202" t="str">
        <x:v>出口</x:v>
      </x:c>
      <x:c r="B24" s="202" t="str">
        <x:v>売却費用率</x:v>
      </x:c>
      <x:c r="C24" s="221" t="n">
        <x:v>0.033</x:v>
      </x:c>
      <x:c r="D24" s="204" t="str">
        <x:v>%</x:v>
      </x:c>
      <x:c r="E24" s="197"/>
      <x:c r="F24" s="234" t="str">
        <x:v>投資効率</x:v>
      </x:c>
      <x:c r="G24" s="238" t="n">
        <x:f>IF((MAX(0,$C$7+$C$8-$C$9)+INDEX('年次推移'!$H$68:$H$102,$C$16))=0,0,(INDEX('年次推移'!$K$68:$K$102,$C$16)+INDEX('年次推移'!$G$68:$G$102,$C$16)-MAX(0,$C$7+$C$8-$C$9))/(MAX(0,$C$7+$C$8-$C$9)+INDEX('年次推移'!$H$68:$H$102,$C$16)))</x:f>
        <x:v>-1.36217395097671</x:v>
      </x:c>
      <x:c r="H24" s="239" t="n">
        <x:f>IF((MAX(0,$C$7+$C$8-$C$9)+INDEX('年次推移'!$H$108:$H$142,$C$16))=0,0,(INDEX('年次推移'!$K$108:$K$142,$C$16)+INDEX('年次推移'!$G$108:$G$142,$C$16)-MAX(0,$C$7+$C$8-$C$9))/(MAX(0,$C$7+$C$8-$C$9)+INDEX('年次推移'!$H$108:$H$142,$C$16)))</x:f>
        <x:v>-0.4906090448697667</x:v>
      </x:c>
      <x:c r="I24" s="240" t="n">
        <x:f>IF((MAX(0,$C$7+$C$8-$C$9)+INDEX('年次推移'!$H$148:$H$182,$C$16))=0,0,(INDEX('年次推移'!$K$148:$K$182,$C$16)+INDEX('年次推移'!$G$148:$G$182,$C$16)-MAX(0,$C$7+$C$8-$C$9))/(MAX(0,$C$7+$C$8-$C$9)+INDEX('年次推移'!$H$148:$H$182,$C$16)))</x:f>
        <x:v>-0.4906090448697667</x:v>
      </x:c>
      <x:c r="J24" s="197"/>
      <x:c r="K24" s="197"/>
      <x:c r="L24" s="197"/>
    </x:row>
    <x:row r="25" ht="22" customHeight="1">
      <x:c r="A25" s="202" t="str">
        <x:v>出口</x:v>
      </x:c>
      <x:c r="B25" s="202" t="str">
        <x:v>売却固定費</x:v>
      </x:c>
      <x:c r="C25" s="241" t="n">
        <x:v>100000</x:v>
      </x:c>
      <x:c r="D25" s="204" t="str">
        <x:v>円</x:v>
      </x:c>
      <x:c r="E25" s="197"/>
      <x:c r="F25" s="197"/>
      <x:c r="G25" s="197"/>
      <x:c r="H25" s="197"/>
      <x:c r="I25" s="197"/>
      <x:c r="J25" s="197"/>
      <x:c r="K25" s="197"/>
      <x:c r="L25" s="197"/>
    </x:row>
    <x:row r="26" ht="22" customHeight="1">
      <x:c r="A26" s="197"/>
      <x:c r="B26" s="197"/>
      <x:c r="C26" s="197"/>
      <x:c r="D26" s="197"/>
      <x:c r="E26" s="197"/>
      <x:c r="F26" s="197"/>
      <x:c r="G26" s="197"/>
      <x:c r="H26" s="197"/>
      <x:c r="I26" s="197"/>
      <x:c r="J26" s="197"/>
      <x:c r="K26" s="197"/>
      <x:c r="L26" s="197"/>
    </x:row>
    <x:row r="27" ht="22" customHeight="1">
      <x:c r="A27" s="197"/>
      <x:c r="B27" s="197"/>
      <x:c r="C27" s="197"/>
      <x:c r="D27" s="197"/>
      <x:c r="E27" s="197"/>
      <x:c r="F27" s="197" t="str">
        <x:v>シナリオ</x:v>
      </x:c>
      <x:c r="G27" s="197" t="str">
        <x:v>税引前最終損益</x:v>
      </x:c>
      <x:c r="H27" s="197"/>
      <x:c r="I27" s="197"/>
      <x:c r="J27" s="197"/>
      <x:c r="K27" s="197"/>
      <x:c r="L27" s="197"/>
    </x:row>
    <x:row r="28" ht="22" customHeight="1">
      <x:c r="A28" s="198" t="str">
        <x:v>3  シナリオ条件｜黄色セルを変更すると全結果が更新</x:v>
      </x:c>
      <x:c r="B28" s="198"/>
      <x:c r="C28" s="198"/>
      <x:c r="D28" s="198"/>
      <x:c r="E28" s="198"/>
      <x:c r="F28" s="197" t="str">
        <x:v>低位</x:v>
      </x:c>
      <x:c r="G28" s="242" t="n">
        <x:f>G23</x:f>
        <x:v>-15606962</x:v>
      </x:c>
      <x:c r="H28" s="197"/>
      <x:c r="I28" s="197"/>
      <x:c r="J28" s="197"/>
      <x:c r="K28" s="197"/>
      <x:c r="L28" s="197"/>
    </x:row>
    <x:row r="29" ht="22" customHeight="1">
      <x:c r="A29" s="199" t="str">
        <x:v>前提</x:v>
      </x:c>
      <x:c r="B29" s="199" t="str">
        <x:v>低位</x:v>
      </x:c>
      <x:c r="C29" s="199" t="str">
        <x:v>標準</x:v>
      </x:c>
      <x:c r="D29" s="199" t="str">
        <x:v>高位</x:v>
      </x:c>
      <x:c r="E29" s="199" t="str">
        <x:v>単位</x:v>
      </x:c>
      <x:c r="F29" s="197" t="str">
        <x:v>標準</x:v>
      </x:c>
      <x:c r="G29" s="242" t="n">
        <x:f>H23</x:f>
        <x:v>-2504431</x:v>
      </x:c>
      <x:c r="H29" s="197"/>
      <x:c r="I29" s="197"/>
      <x:c r="J29" s="197"/>
      <x:c r="K29" s="197"/>
      <x:c r="L29" s="197"/>
    </x:row>
    <x:row r="30" ht="22" customHeight="1">
      <x:c r="A30" s="202" t="str">
        <x:v>家賃倍率</x:v>
      </x:c>
      <x:c r="B30" s="243" t="n">
        <x:v>0.9</x:v>
      </x:c>
      <x:c r="C30" s="244" t="n">
        <x:v>1</x:v>
      </x:c>
      <x:c r="D30" s="245" t="n">
        <x:v>1</x:v>
      </x:c>
      <x:c r="E30" s="204" t="str">
        <x:v>%</x:v>
      </x:c>
      <x:c r="F30" s="197" t="str">
        <x:v>高位</x:v>
      </x:c>
      <x:c r="G30" s="242" t="n">
        <x:f>I23</x:f>
        <x:v>-2504431</x:v>
      </x:c>
      <x:c r="H30" s="197"/>
      <x:c r="I30" s="197"/>
      <x:c r="J30" s="197"/>
      <x:c r="K30" s="197"/>
      <x:c r="L30" s="197"/>
    </x:row>
    <x:row r="31" ht="22" customHeight="1">
      <x:c r="A31" s="202" t="str">
        <x:v>稼働率</x:v>
      </x:c>
      <x:c r="B31" s="246" t="n">
        <x:v>0.85</x:v>
      </x:c>
      <x:c r="C31" s="247" t="n">
        <x:v>0.95</x:v>
      </x:c>
      <x:c r="D31" s="248" t="n">
        <x:v>0.95</x:v>
      </x:c>
      <x:c r="E31" s="204" t="str">
        <x:v>%</x:v>
      </x:c>
      <x:c r="F31" s="197"/>
      <x:c r="G31" s="197"/>
      <x:c r="H31" s="197"/>
      <x:c r="I31" s="197"/>
      <x:c r="J31" s="197"/>
      <x:c r="K31" s="197"/>
      <x:c r="L31" s="197"/>
    </x:row>
    <x:row r="32" ht="22" customHeight="1">
      <x:c r="A32" s="202" t="str">
        <x:v>年間金利</x:v>
      </x:c>
      <x:c r="B32" s="246" t="n">
        <x:v>0.028</x:v>
      </x:c>
      <x:c r="C32" s="247" t="n">
        <x:v>0.018</x:v>
      </x:c>
      <x:c r="D32" s="248" t="n">
        <x:v>0.018</x:v>
      </x:c>
      <x:c r="E32" s="204" t="str">
        <x:v>%</x:v>
      </x:c>
      <x:c r="F32" s="197"/>
      <x:c r="G32" s="197"/>
      <x:c r="H32" s="197"/>
      <x:c r="I32" s="197"/>
      <x:c r="J32" s="197"/>
      <x:c r="K32" s="197"/>
      <x:c r="L32" s="197"/>
    </x:row>
    <x:row r="33" ht="22" customHeight="1">
      <x:c r="A33" s="202" t="str">
        <x:v>運営費倍率</x:v>
      </x:c>
      <x:c r="B33" s="246" t="n">
        <x:v>1.25</x:v>
      </x:c>
      <x:c r="C33" s="247" t="n">
        <x:v>1</x:v>
      </x:c>
      <x:c r="D33" s="248" t="n">
        <x:v>1</x:v>
      </x:c>
      <x:c r="E33" s="204" t="str">
        <x:v>%</x:v>
      </x:c>
      <x:c r="F33" s="197"/>
      <x:c r="G33" s="197"/>
      <x:c r="H33" s="197"/>
      <x:c r="I33" s="197"/>
      <x:c r="J33" s="197"/>
      <x:c r="K33" s="197"/>
      <x:c r="L33" s="197"/>
    </x:row>
    <x:row r="34" ht="22" customHeight="1">
      <x:c r="A34" s="202" t="str">
        <x:v>退去・修繕倍率</x:v>
      </x:c>
      <x:c r="B34" s="246" t="n">
        <x:v>1.5</x:v>
      </x:c>
      <x:c r="C34" s="247" t="n">
        <x:v>1</x:v>
      </x:c>
      <x:c r="D34" s="248" t="n">
        <x:v>1</x:v>
      </x:c>
      <x:c r="E34" s="204" t="str">
        <x:v>%</x:v>
      </x:c>
      <x:c r="F34" s="197"/>
      <x:c r="G34" s="197"/>
      <x:c r="H34" s="197"/>
      <x:c r="I34" s="197"/>
      <x:c r="J34" s="197"/>
      <x:c r="K34" s="197"/>
      <x:c r="L34" s="197"/>
    </x:row>
    <x:row r="35" ht="22" customHeight="1">
      <x:c r="A35" s="202" t="str">
        <x:v>年間売却価格変化率</x:v>
      </x:c>
      <x:c r="B35" s="249" t="n">
        <x:v>-0.03</x:v>
      </x:c>
      <x:c r="C35" s="250" t="n">
        <x:v>-0.01</x:v>
      </x:c>
      <x:c r="D35" s="251" t="n">
        <x:v>-0.01</x:v>
      </x:c>
      <x:c r="E35" s="204" t="str">
        <x:v>%/年</x:v>
      </x:c>
      <x:c r="F35" s="197"/>
      <x:c r="G35" s="197"/>
      <x:c r="H35" s="197"/>
      <x:c r="I35" s="197"/>
      <x:c r="J35" s="197"/>
      <x:c r="K35" s="197"/>
      <x:c r="L35" s="197"/>
    </x:row>
    <x:row r="36" ht="22" customHeight="1">
      <x:c r="A36" s="197"/>
      <x:c r="B36" s="197"/>
      <x:c r="C36" s="197"/>
      <x:c r="D36" s="197"/>
      <x:c r="E36" s="197"/>
      <x:c r="F36" s="197"/>
      <x:c r="G36" s="197"/>
      <x:c r="H36" s="197"/>
      <x:c r="I36" s="197"/>
      <x:c r="J36" s="197"/>
      <x:c r="K36" s="197"/>
      <x:c r="L36" s="197"/>
    </x:row>
    <x:row r="37" ht="22" customHeight="1">
      <x:c r="A37" s="252" t="str">
        <x:f>IF(AND(C30=D30,C31=D31,C32=D32,C33=D33,C34=D34,C35=D35),"注意：高位は標準と同じ条件です。比較したい場合は高位列を変更してください。","高位シナリオは標準と異なる条件です。")</x:f>
        <x:v>注意：高位は標準と同じ条件です。比較したい場合は高位列を変更してください。</x:v>
      </x:c>
      <x:c r="B37" s="253"/>
      <x:c r="C37" s="253"/>
      <x:c r="D37" s="253"/>
      <x:c r="E37" s="254"/>
      <x:c r="F37" s="197"/>
      <x:c r="G37" s="197"/>
      <x:c r="H37" s="197"/>
      <x:c r="I37" s="197"/>
      <x:c r="J37" s="197"/>
      <x:c r="K37" s="197"/>
      <x:c r="L37" s="197"/>
    </x:row>
    <x:row r="38" ht="22" customHeight="1">
      <x:c r="A38" s="255"/>
      <x:c r="B38" s="256"/>
      <x:c r="C38" s="256"/>
      <x:c r="D38" s="256"/>
      <x:c r="E38" s="257"/>
      <x:c r="F38" s="197"/>
      <x:c r="G38" s="197"/>
      <x:c r="H38" s="197"/>
      <x:c r="I38" s="197"/>
      <x:c r="J38" s="197"/>
      <x:c r="K38" s="197"/>
      <x:c r="L38" s="197"/>
    </x:row>
    <x:row r="39" ht="22" customHeight="1">
      <x:c r="A39" s="197"/>
      <x:c r="B39" s="197"/>
      <x:c r="C39" s="197"/>
      <x:c r="D39" s="197"/>
      <x:c r="E39" s="197"/>
      <x:c r="F39" s="197"/>
      <x:c r="G39" s="197"/>
      <x:c r="H39" s="197"/>
      <x:c r="I39" s="197"/>
      <x:c r="J39" s="197"/>
      <x:c r="K39" s="197"/>
      <x:c r="L39" s="197"/>
    </x:row>
    <x:row r="40" ht="22" customHeight="1">
      <x:c r="A40" s="197"/>
      <x:c r="B40" s="197"/>
      <x:c r="C40" s="197"/>
      <x:c r="D40" s="197"/>
      <x:c r="E40" s="197"/>
      <x:c r="F40" s="197"/>
      <x:c r="G40" s="197"/>
      <x:c r="H40" s="197"/>
      <x:c r="I40" s="197"/>
      <x:c r="J40" s="197"/>
      <x:c r="K40" s="197"/>
      <x:c r="L40" s="197"/>
    </x:row>
    <x:row r="41" ht="23" customHeight="1">
      <x:c r="A41" s="311" t="str">
        <x:v>4  標準シナリオ｜5年・10年・売却予定年を横並び比較</x:v>
      </x:c>
      <x:c r="B41" s="311"/>
      <x:c r="C41" s="311"/>
      <x:c r="D41" s="311"/>
      <x:c r="E41" s="311"/>
      <x:c r="F41" s="197"/>
      <x:c r="G41" s="197"/>
      <x:c r="H41" s="197"/>
      <x:c r="I41" s="197"/>
      <x:c r="J41" s="197"/>
      <x:c r="K41" s="197"/>
      <x:c r="L41" s="197"/>
    </x:row>
    <x:row r="42" ht="23" customHeight="1">
      <x:c r="A42" s="314" t="str">
        <x:v>確認時点</x:v>
      </x:c>
      <x:c r="B42" s="314" t="str">
        <x:v>累積税引前CF</x:v>
      </x:c>
      <x:c r="C42" s="314" t="str">
        <x:v>元本減少</x:v>
      </x:c>
      <x:c r="D42" s="314" t="str">
        <x:v>税引前最終損益</x:v>
      </x:c>
      <x:c r="E42" s="314" t="str">
        <x:v>税引後最終損益</x:v>
      </x:c>
      <x:c r="F42" s="197"/>
      <x:c r="G42" s="197"/>
      <x:c r="H42" s="197"/>
      <x:c r="I42" s="197"/>
      <x:c r="J42" s="197"/>
      <x:c r="K42" s="197"/>
      <x:c r="L42" s="197"/>
    </x:row>
    <x:row r="43" ht="23" customHeight="1">
      <x:c r="A43" s="316" t="str">
        <x:v>5年</x:v>
      </x:c>
      <x:c r="B43" s="318" t="n">
        <x:f>ROUND(INDEX('年次推移'!$G$108:$G$142,5),0)</x:f>
        <x:v>-2216118</x:v>
      </x:c>
      <x:c r="C43" s="318" t="n">
        <x:f>ROUND($C$9-INDEX('年次推移'!$I$108:$I$142,5),0)</x:f>
        <x:v>3863948</x:v>
      </x:c>
      <x:c r="D43" s="318" t="n">
        <x:f>ROUND(INDEX('年次推移'!$K$108:$K$142,5)+INDEX('年次推移'!$G$108:$G$142,5)-MAX(0,$C$7+$C$8-$C$9),0)</x:f>
        <x:v>-2765911</x:v>
      </x:c>
      <x:c r="E43" s="318" t="str">
        <x:f>IF($C$59="OK",ROUND(INDEX('年次推移'!$AF$108:$AF$142,5),0),"")</x:f>
      </x:c>
      <x:c r="F43" s="197"/>
      <x:c r="G43" s="197"/>
      <x:c r="H43" s="197"/>
      <x:c r="I43" s="197"/>
      <x:c r="J43" s="197"/>
      <x:c r="K43" s="197"/>
      <x:c r="L43" s="197"/>
    </x:row>
    <x:row r="44" ht="23" customHeight="1">
      <x:c r="A44" s="381" t="str">
        <x:v>10年</x:v>
      </x:c>
      <x:c r="B44" s="382" t="n">
        <x:f>ROUND(INDEX('年次推移'!$G$108:$G$142,10),0)</x:f>
        <x:v>-4604738</x:v>
      </x:c>
      <x:c r="C44" s="382" t="n">
        <x:f>ROUND($C$9-INDEX('年次推移'!$I$108:$I$142,10),0)</x:f>
        <x:v>8091496</x:v>
      </x:c>
      <x:c r="D44" s="382" t="n">
        <x:f>ROUND(INDEX('年次推移'!$K$108:$K$142,10)+INDEX('年次推移'!$G$108:$G$142,10)-MAX(0,$C$7+$C$8-$C$9),0)</x:f>
        <x:v>-2504431</x:v>
      </x:c>
      <x:c r="E44" s="382" t="str">
        <x:f>IF($C$59="OK",ROUND(INDEX('年次推移'!$AF$108:$AF$142,10),0),"")</x:f>
      </x:c>
      <x:c r="F44" s="197"/>
      <x:c r="G44" s="197"/>
      <x:c r="H44" s="197"/>
      <x:c r="I44" s="197"/>
      <x:c r="J44" s="197"/>
      <x:c r="K44" s="197"/>
      <x:c r="L44" s="197"/>
    </x:row>
    <x:row r="45" ht="23" customHeight="1">
      <x:c r="A45" s="381" t="str">
        <x:v>売却予定年</x:v>
      </x:c>
      <x:c r="B45" s="382" t="n">
        <x:f>ROUND(INDEX('年次推移'!$G$108:$G$142,$C$16),0)</x:f>
        <x:v>-4604738</x:v>
      </x:c>
      <x:c r="C45" s="382" t="n">
        <x:f>ROUND($C$9-INDEX('年次推移'!$I$108:$I$142,$C$16),0)</x:f>
        <x:v>8091496</x:v>
      </x:c>
      <x:c r="D45" s="382" t="n">
        <x:f>ROUND(INDEX('年次推移'!$K$108:$K$142,$C$16)+INDEX('年次推移'!$G$108:$G$142,$C$16)-MAX(0,$C$7+$C$8-$C$9),0)</x:f>
        <x:v>-2504431</x:v>
      </x:c>
      <x:c r="E45" s="382" t="str">
        <x:f>IF($C$59="OK",ROUND(INDEX('年次推移'!$AF$108:$AF$142,$C$16),0),"")</x:f>
      </x:c>
      <x:c r="F45" s="197"/>
      <x:c r="G45" s="197"/>
      <x:c r="H45" s="197"/>
      <x:c r="I45" s="197"/>
      <x:c r="J45" s="197"/>
      <x:c r="K45" s="197"/>
      <x:c r="L45" s="197"/>
    </x:row>
    <x:row r="46" ht="23" customHeight="1">
      <x:c r="A46" s="197"/>
      <x:c r="B46" s="197"/>
      <x:c r="C46" s="197"/>
      <x:c r="D46" s="197"/>
      <x:c r="E46" s="197"/>
      <x:c r="F46" s="197"/>
      <x:c r="G46" s="197"/>
      <x:c r="H46" s="197"/>
      <x:c r="I46" s="197"/>
      <x:c r="J46" s="197"/>
      <x:c r="K46" s="197"/>
      <x:c r="L46" s="197"/>
    </x:row>
    <x:row r="47" ht="24" customHeight="1">
      <x:c r="A47" s="383" t="str">
        <x:v>5  税引後を確認する任意入力｜未入力でも税引前は計算</x:v>
      </x:c>
      <x:c r="B47" s="383"/>
      <x:c r="C47" s="383"/>
      <x:c r="D47" s="383"/>
      <x:c r="E47" s="383"/>
      <x:c r="F47" s="425" t="str">
        <x:v>税効果の内訳｜標準シナリオ・売却予定年</x:v>
      </x:c>
      <x:c r="G47" s="425"/>
      <x:c r="H47" s="425"/>
      <x:c r="I47" s="425"/>
      <x:c r="J47" s="425"/>
      <x:c r="K47" s="425"/>
      <x:c r="L47" s="425"/>
    </x:row>
    <x:row r="48" ht="24" customHeight="1">
      <x:c r="A48" s="384" t="str">
        <x:v>区分</x:v>
      </x:c>
      <x:c r="B48" s="384" t="str">
        <x:v>入力項目</x:v>
      </x:c>
      <x:c r="C48" s="384" t="str">
        <x:v>入力値</x:v>
      </x:c>
      <x:c r="D48" s="384" t="str">
        <x:v>単位</x:v>
      </x:c>
      <x:c r="E48" s="197"/>
      <x:c r="F48" s="430" t="str">
        <x:v>売却年までの累積税効果</x:v>
      </x:c>
      <x:c r="G48" s="430"/>
      <x:c r="H48" s="430"/>
      <x:c r="I48" s="473" t="str">
        <x:v>売却時の譲渡所得税</x:v>
      </x:c>
      <x:c r="J48" s="473"/>
      <x:c r="K48" s="473"/>
      <x:c r="L48" s="197"/>
    </x:row>
    <x:row r="49" ht="28" customHeight="1">
      <x:c r="A49" s="385" t="str">
        <x:v>取得</x:v>
      </x:c>
      <x:c r="B49" s="385" t="str">
        <x:v>取得・事業供用日</x:v>
      </x:c>
      <x:c r="C49" s="386" t="n">
        <x:v>46023</x:v>
      </x:c>
      <x:c r="D49" s="387" t="str">
        <x:v>日付</x:v>
      </x:c>
      <x:c r="E49" s="197"/>
      <x:c r="F49" s="460" t="str">
        <x:f>IF($C$59&lt;&gt;"OK","",ROUND(INDEX('年次推移'!$Y$108:$Y$142,$C$16)-INDEX('年次推移'!$G$108:$G$142,$C$16),0))</x:f>
      </x:c>
      <x:c r="G49" s="461"/>
      <x:c r="H49" s="462"/>
      <x:c r="I49" s="502" t="str">
        <x:f>IF($C$59&lt;&gt;"OK","",ROUND(INDEX('年次推移'!$AD$108:$AD$142,$C$16),0))</x:f>
      </x:c>
      <x:c r="J49" s="503"/>
      <x:c r="K49" s="504"/>
      <x:c r="L49" s="197"/>
    </x:row>
    <x:row r="50" ht="28" customHeight="1">
      <x:c r="A50" s="385" t="str">
        <x:v>建物</x:v>
      </x:c>
      <x:c r="B50" s="385" t="str">
        <x:v>建物価格（税込）</x:v>
      </x:c>
      <x:c r="C50" s="388" t="n">
        <x:v>0</x:v>
      </x:c>
      <x:c r="D50" s="387" t="str">
        <x:v>円</x:v>
      </x:c>
      <x:c r="E50" s="197"/>
      <x:c r="F50" s="463"/>
      <x:c r="G50" s="464"/>
      <x:c r="H50" s="465"/>
      <x:c r="I50" s="505"/>
      <x:c r="J50" s="506"/>
      <x:c r="K50" s="507"/>
      <x:c r="L50" s="197"/>
    </x:row>
    <x:row r="51" ht="28" customHeight="1">
      <x:c r="A51" s="385" t="str">
        <x:v>建物</x:v>
      </x:c>
      <x:c r="B51" s="385" t="str">
        <x:v>建物構造</x:v>
      </x:c>
      <x:c r="C51" s="389" t="str">
        <x:v>RC/SRC住宅</x:v>
      </x:c>
      <x:c r="D51" s="387" t="str">
        <x:v>選択</x:v>
      </x:c>
      <x:c r="E51" s="197"/>
      <x:c r="F51" s="466"/>
      <x:c r="G51" s="467"/>
      <x:c r="H51" s="468"/>
      <x:c r="I51" s="508"/>
      <x:c r="J51" s="509"/>
      <x:c r="K51" s="510"/>
      <x:c r="L51" s="197"/>
    </x:row>
    <x:row r="52" ht="28" customHeight="1">
      <x:c r="A52" s="385" t="str">
        <x:v>建物</x:v>
      </x:c>
      <x:c r="B52" s="385" t="str">
        <x:v>築年数（取得時）</x:v>
      </x:c>
      <x:c r="C52" s="390" t="n">
        <x:v>10</x:v>
      </x:c>
      <x:c r="D52" s="387" t="str">
        <x:v>年</x:v>
      </x:c>
      <x:c r="E52" s="197"/>
      <x:c r="F52" s="197"/>
      <x:c r="G52" s="197"/>
      <x:c r="H52" s="197"/>
      <x:c r="I52" s="197"/>
      <x:c r="J52" s="197"/>
      <x:c r="K52" s="197"/>
      <x:c r="L52" s="197"/>
    </x:row>
    <x:row r="53" ht="28" customHeight="1">
      <x:c r="A53" s="385" t="str">
        <x:v>建物</x:v>
      </x:c>
      <x:c r="B53" s="385" t="str">
        <x:v>躯体比率</x:v>
      </x:c>
      <x:c r="C53" s="391" t="n">
        <x:v>0.8</x:v>
      </x:c>
      <x:c r="D53" s="387" t="str">
        <x:v>%</x:v>
      </x:c>
      <x:c r="E53" s="197"/>
      <x:c r="F53" s="473" t="str">
        <x:v>税引前最終損益</x:v>
      </x:c>
      <x:c r="G53" s="473"/>
      <x:c r="H53" s="473"/>
      <x:c r="I53" s="473" t="str">
        <x:v>税引後最終損益</x:v>
      </x:c>
      <x:c r="J53" s="473"/>
      <x:c r="K53" s="473"/>
      <x:c r="L53" s="197"/>
    </x:row>
    <x:row r="54" ht="28" customHeight="1">
      <x:c r="A54" s="385" t="str">
        <x:v>所得</x:v>
      </x:c>
      <x:c r="B54" s="385" t="str">
        <x:v>給与収入（額面年収）</x:v>
      </x:c>
      <x:c r="C54" s="388" t="n">
        <x:v>10000000</x:v>
      </x:c>
      <x:c r="D54" s="387" t="str">
        <x:v>円/年</x:v>
      </x:c>
      <x:c r="E54" s="197"/>
      <x:c r="F54" s="502" t="n">
        <x:f>ROUND(INDEX('年次推移'!$K$108:$K$142,$C$16)+INDEX('年次推移'!$G$108:$G$142,$C$16)-MAX(0,$C$7+$C$8-$C$9),0)</x:f>
        <x:v>-2504431</x:v>
      </x:c>
      <x:c r="G54" s="503"/>
      <x:c r="H54" s="504"/>
      <x:c r="I54" s="502" t="str">
        <x:f>IF($C$59&lt;&gt;"OK","",ROUND(INDEX('年次推移'!$AF$108:$AF$142,$C$16),0))</x:f>
      </x:c>
      <x:c r="J54" s="503"/>
      <x:c r="K54" s="504"/>
      <x:c r="L54" s="197"/>
    </x:row>
    <x:row r="55" ht="28" customHeight="1">
      <x:c r="A55" s="385" t="str">
        <x:v>所得</x:v>
      </x:c>
      <x:c r="B55" s="385" t="str">
        <x:v>事業所得</x:v>
      </x:c>
      <x:c r="C55" s="388" t="n">
        <x:v>0</x:v>
      </x:c>
      <x:c r="D55" s="387" t="str">
        <x:v>円/年</x:v>
      </x:c>
      <x:c r="E55" s="197"/>
      <x:c r="F55" s="505"/>
      <x:c r="G55" s="506"/>
      <x:c r="H55" s="507"/>
      <x:c r="I55" s="505"/>
      <x:c r="J55" s="506"/>
      <x:c r="K55" s="507"/>
      <x:c r="L55" s="197"/>
    </x:row>
    <x:row r="56" ht="28" customHeight="1">
      <x:c r="A56" s="385" t="str">
        <x:v>控除</x:v>
      </x:c>
      <x:c r="B56" s="385" t="str">
        <x:v>社会保険料・その他所得控除</x:v>
      </x:c>
      <x:c r="C56" s="388" t="n">
        <x:v>1500000</x:v>
      </x:c>
      <x:c r="D56" s="387" t="str">
        <x:v>円/年</x:v>
      </x:c>
      <x:c r="E56" s="197"/>
      <x:c r="F56" s="508"/>
      <x:c r="G56" s="509"/>
      <x:c r="H56" s="510"/>
      <x:c r="I56" s="508"/>
      <x:c r="J56" s="509"/>
      <x:c r="K56" s="510"/>
      <x:c r="L56" s="197"/>
    </x:row>
    <x:row r="57" ht="24" customHeight="1">
      <x:c r="A57" s="385" t="str">
        <x:v>譲渡</x:v>
      </x:c>
      <x:c r="B57" s="385" t="str">
        <x:v>取得費算入諸費用</x:v>
      </x:c>
      <x:c r="C57" s="388" t="n">
        <x:v>0</x:v>
      </x:c>
      <x:c r="D57" s="387" t="str">
        <x:v>円</x:v>
      </x:c>
      <x:c r="E57" s="197"/>
      <x:c r="F57" s="197"/>
      <x:c r="G57" s="197"/>
      <x:c r="H57" s="197"/>
      <x:c r="I57" s="197"/>
      <x:c r="J57" s="197"/>
      <x:c r="K57" s="197"/>
      <x:c r="L57" s="197"/>
    </x:row>
    <x:row r="58" ht="24" customHeight="1">
      <x:c r="A58" s="385" t="str">
        <x:v>譲渡</x:v>
      </x:c>
      <x:c r="B58" s="385" t="str">
        <x:v>譲渡所得の特別控除</x:v>
      </x:c>
      <x:c r="C58" s="392" t="n">
        <x:v>0</x:v>
      </x:c>
      <x:c r="D58" s="387" t="str">
        <x:v>円</x:v>
      </x:c>
      <x:c r="E58" s="197"/>
      <x:c r="F58" s="531" t="str">
        <x:v>税効果は「＋＝税負担の減少」「－＝税負担の増加」です。譲渡所得税は別に表示しています。</x:v>
      </x:c>
      <x:c r="G58" s="532"/>
      <x:c r="H58" s="532"/>
      <x:c r="I58" s="532"/>
      <x:c r="J58" s="532"/>
      <x:c r="K58" s="532"/>
      <x:c r="L58" s="533"/>
    </x:row>
    <x:row r="59" ht="24" customHeight="1">
      <x:c r="A59" s="393" t="str">
        <x:v>税引後計算の状態</x:v>
      </x:c>
      <x:c r="B59" s="394"/>
      <x:c r="C59" s="395" t="str">
        <x:f>IF(C50&lt;=0,"算定保留",IF(AND(C50&lt;=$C$7,C52&gt;=0,C53&gt;0,C53&lt;1,C54&gt;=0,C55&gt;=0,C56&gt;=0,C57&gt;=0,C58&gt;=0),"OK","要確認"))</x:f>
        <x:v>算定保留</x:v>
      </x:c>
      <x:c r="D59" s="395"/>
      <x:c r="E59" s="396"/>
      <x:c r="F59" s="534"/>
      <x:c r="G59" s="535"/>
      <x:c r="H59" s="535"/>
      <x:c r="I59" s="535"/>
      <x:c r="J59" s="535"/>
      <x:c r="K59" s="535"/>
      <x:c r="L59" s="536"/>
    </x:row>
    <x:row r="60" ht="23" customHeight="1">
      <x:c r="A60" s="197"/>
      <x:c r="B60" s="197"/>
      <x:c r="C60" s="197"/>
      <x:c r="D60" s="197"/>
      <x:c r="E60" s="197"/>
      <x:c r="F60" s="197"/>
      <x:c r="G60" s="197"/>
      <x:c r="H60" s="197"/>
      <x:c r="I60" s="197"/>
      <x:c r="J60" s="197"/>
      <x:c r="K60" s="197"/>
      <x:c r="L60" s="197"/>
    </x:row>
    <x:row r="61" ht="28" customHeight="1">
      <x:c r="A61" s="397" t="str">
        <x:v>税務上の結果は概算です。建物価格を0円のままにすると、誤解を避けるため税引後結果を表示しません。建物価格・取得日・所得控除を契約書や源泉徴収票等で確認してください。</x:v>
      </x:c>
      <x:c r="B61" s="398"/>
      <x:c r="C61" s="398"/>
      <x:c r="D61" s="398"/>
      <x:c r="E61" s="399"/>
      <x:c r="F61" s="197"/>
      <x:c r="G61" s="197"/>
      <x:c r="H61" s="197"/>
      <x:c r="I61" s="197"/>
      <x:c r="J61" s="197"/>
      <x:c r="K61" s="197"/>
      <x:c r="L61" s="197"/>
    </x:row>
    <x:row r="62" ht="28" customHeight="1">
      <x:c r="A62" s="400"/>
      <x:c r="B62" s="401"/>
      <x:c r="C62" s="401"/>
      <x:c r="D62" s="401"/>
      <x:c r="E62" s="402"/>
      <x:c r="F62" s="197"/>
      <x:c r="G62" s="197"/>
      <x:c r="H62" s="197"/>
      <x:c r="I62" s="197"/>
      <x:c r="J62" s="197"/>
      <x:c r="K62" s="197"/>
      <x:c r="L62" s="197"/>
    </x:row>
    <x:row r="63" ht="28" customHeight="1">
      <x:c r="A63" s="403"/>
      <x:c r="B63" s="404"/>
      <x:c r="C63" s="404"/>
      <x:c r="D63" s="404"/>
      <x:c r="E63" s="405"/>
      <x:c r="F63" s="197"/>
      <x:c r="G63" s="197"/>
      <x:c r="H63" s="197"/>
      <x:c r="I63" s="197"/>
      <x:c r="J63" s="197"/>
      <x:c r="K63" s="197"/>
      <x:c r="L63" s="197"/>
    </x:row>
  </x:sheetData>
  <x:mergeCells>
    <x:mergeCell ref="A1:A2"/>
    <x:mergeCell ref="B1:L2"/>
    <x:mergeCell ref="A3:L3"/>
    <x:mergeCell ref="A5:D5"/>
    <x:mergeCell ref="A18:D18"/>
    <x:mergeCell ref="F5:L5"/>
    <x:mergeCell ref="F6:G6"/>
    <x:mergeCell ref="F7:G9"/>
    <x:mergeCell ref="H6:I6"/>
    <x:mergeCell ref="H7:I9"/>
    <x:mergeCell ref="J6:L6"/>
    <x:mergeCell ref="J7:L9"/>
    <x:mergeCell ref="F11:G11"/>
    <x:mergeCell ref="F12:G14"/>
    <x:mergeCell ref="H11:I11"/>
    <x:mergeCell ref="H12:I14"/>
    <x:mergeCell ref="J11:L11"/>
    <x:mergeCell ref="J12:L14"/>
    <x:mergeCell ref="F17:L17"/>
    <x:mergeCell ref="A28:E28"/>
    <x:mergeCell ref="A37:E38"/>
    <x:mergeCell ref="F16:L16"/>
    <x:mergeCell ref="A41:E41"/>
    <x:mergeCell ref="A47:E47"/>
    <x:mergeCell ref="A59:B59"/>
    <x:mergeCell ref="C59:E59"/>
    <x:mergeCell ref="A61:E63"/>
    <x:mergeCell ref="F47:L47"/>
    <x:mergeCell ref="F48:H48"/>
    <x:mergeCell ref="F49:H51"/>
    <x:mergeCell ref="I48:K48"/>
    <x:mergeCell ref="I49:K51"/>
    <x:mergeCell ref="F53:H53"/>
    <x:mergeCell ref="F54:H56"/>
    <x:mergeCell ref="I53:K53"/>
    <x:mergeCell ref="I54:K56"/>
    <x:mergeCell ref="F58:L59"/>
  </x:mergeCells>
  <x:dataValidations count="10">
    <x:dataValidation type="whole" operator="between" sqref="C7:C9">
      <x:formula1>0</x:formula1>
      <x:formula2>1000000000</x:formula2>
    </x:dataValidation>
    <x:dataValidation type="decimal" operator="between" sqref="C10">
      <x:formula1>0</x:formula1>
      <x:formula2>0.2</x:formula2>
    </x:dataValidation>
    <x:dataValidation type="whole" operator="between" sqref="C11">
      <x:formula1>1</x:formula1>
      <x:formula2>50</x:formula2>
    </x:dataValidation>
    <x:dataValidation type="whole" operator="between" sqref="C16">
      <x:formula1>1</x:formula1>
      <x:formula2>35</x:formula2>
    </x:dataValidation>
    <x:dataValidation type="decimal" operator="between" sqref="B30:D35">
      <x:formula1>-0.2</x:formula1>
      <x:formula2>3</x:formula2>
    </x:dataValidation>
    <x:dataValidation type="whole" operator="between" sqref="C50">
      <x:formula1>0</x:formula1>
      <x:formula2>1000000000</x:formula2>
    </x:dataValidation>
    <x:dataValidation type="list" sqref="C51">
      <x:formula1>"RC/SRC住宅,木造住宅,木骨モルタル住宅,鉄骨住宅（4mm超）,鉄骨住宅（3mm超4mm以下）,鉄骨住宅（3mm以下）,れんが・石・ブロック住宅"</x:formula1>
    </x:dataValidation>
    <x:dataValidation type="whole" operator="between" sqref="C52">
      <x:formula1>0</x:formula1>
      <x:formula2>100</x:formula2>
    </x:dataValidation>
    <x:dataValidation type="decimal" operator="between" sqref="C53">
      <x:formula1>0.01</x:formula1>
      <x:formula2>0.99</x:formula2>
    </x:dataValidation>
    <x:dataValidation type="whole" operator="between" sqref="C54:C58">
      <x:formula1>0</x:formula1>
      <x:formula2>1000000000</x:formula2>
    </x:dataValidation>
  </x:dataValidations>
  <x:pageMargins left="0.7" right="0.7" top="0.75" bottom="0.75" header="0.3" footer="0.3"/>
  <x:drawing xmlns:r="http://schemas.openxmlformats.org/officeDocument/2006/relationships" r:id="R0f053321985c4f71"/>
  <x:legacyDrawing xmlns:r="http://schemas.openxmlformats.org/officeDocument/2006/relationships" r:id="R77781e7db66e41f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4" customHeight="1">
      <x:c r="A1" s="194" t="str">
        <x:v>S</x:v>
      </x:c>
      <x:c r="B1" s="537" t="str">
        <x:v>年次推移｜現金と税効果を1円単位で確認</x:v>
      </x:c>
      <x:c r="C1" s="537"/>
      <x:c r="D1" s="537"/>
      <x:c r="E1" s="537"/>
      <x:c r="F1" s="537"/>
      <x:c r="G1" s="537"/>
      <x:c r="H1" s="537"/>
      <x:c r="I1" s="537"/>
      <x:c r="J1" s="537"/>
      <x:c r="K1" s="537"/>
      <x:c r="L1" s="537"/>
      <x:c r="M1" s="537"/>
      <x:c r="N1" s="537"/>
      <x:c r="O1" s="537"/>
    </x:row>
    <x:row r="2" ht="24" customHeight="1">
      <x:c r="A2" s="194"/>
      <x:c r="B2" s="537"/>
      <x:c r="C2" s="537"/>
      <x:c r="D2" s="537"/>
      <x:c r="E2" s="537"/>
      <x:c r="F2" s="537"/>
      <x:c r="G2" s="537"/>
      <x:c r="H2" s="537"/>
      <x:c r="I2" s="537"/>
      <x:c r="J2" s="537"/>
      <x:c r="K2" s="537"/>
      <x:c r="L2" s="537"/>
      <x:c r="M2" s="537"/>
      <x:c r="N2" s="537"/>
      <x:c r="O2" s="537"/>
    </x:row>
    <x:row r="3" ht="24" customHeight="1">
      <x:c r="A3" s="542" t="str">
        <x:v>内部計算は円未満を保持し、表示額は1円単位へ四捨五入しています。税引後は税務入力が揃った場合のみ表示します。</x:v>
      </x:c>
      <x:c r="B3" s="542"/>
      <x:c r="C3" s="542"/>
      <x:c r="D3" s="542"/>
      <x:c r="E3" s="542"/>
      <x:c r="F3" s="542"/>
      <x:c r="G3" s="542"/>
      <x:c r="H3" s="542"/>
      <x:c r="I3" s="542"/>
      <x:c r="J3" s="542"/>
      <x:c r="K3" s="542"/>
      <x:c r="L3" s="542"/>
      <x:c r="M3" s="542"/>
      <x:c r="N3" s="542"/>
      <x:c r="O3" s="542"/>
    </x:row>
    <x:row r="4">
      <x:c r="A4" s="272" t="str">
        <x:v>表示シナリオ</x:v>
      </x:c>
      <x:c r="B4" s="272"/>
      <x:c r="C4" s="273" t="str">
        <x:v>標準</x:v>
      </x:c>
      <x:c r="D4" s="274"/>
      <x:c r="E4" s="197"/>
      <x:c r="F4" s="197"/>
      <x:c r="G4" s="197"/>
      <x:c r="H4" s="197"/>
      <x:c r="I4" s="197"/>
      <x:c r="J4" s="197"/>
      <x:c r="K4" s="197"/>
      <x:c r="L4" s="197"/>
      <x:c r="M4" s="197"/>
      <x:c r="N4" s="197"/>
      <x:c r="O4" s="197"/>
      <x:c r="AH4" t="str">
        <x:v>税計算ヘルパー</x:v>
      </x:c>
      <x:c r="AI4" t="str">
        <x:v>値</x:v>
      </x:c>
    </x:row>
    <x:row r="5">
      <x:c r="A5" s="197"/>
      <x:c r="B5" s="197"/>
      <x:c r="C5" s="197"/>
      <x:c r="D5" s="197"/>
      <x:c r="E5" s="197"/>
      <x:c r="F5" s="197"/>
      <x:c r="G5" s="197"/>
      <x:c r="H5" s="197"/>
      <x:c r="I5" s="197"/>
      <x:c r="J5" s="197"/>
      <x:c r="K5" s="197"/>
      <x:c r="L5" s="197"/>
      <x:c r="M5" s="197"/>
      <x:c r="N5" s="197"/>
      <x:c r="O5" s="197"/>
      <x:c r="AH5" t="str">
        <x:v>給与収入</x:v>
      </x:c>
      <x:c r="AI5" t="n">
        <x:f>'診断'!$C$54</x:f>
        <x:v>10000000</x:v>
      </x:c>
    </x:row>
    <x:row r="6">
      <x:c r="A6" s="197"/>
      <x:c r="B6" s="197"/>
      <x:c r="C6" s="197"/>
      <x:c r="D6" s="197"/>
      <x:c r="E6" s="197"/>
      <x:c r="F6" s="197"/>
      <x:c r="G6" s="197"/>
      <x:c r="H6" s="197"/>
      <x:c r="I6" s="197"/>
      <x:c r="J6" s="197"/>
      <x:c r="K6" s="197"/>
      <x:c r="L6" s="197"/>
      <x:c r="M6" s="197"/>
      <x:c r="N6" s="197"/>
      <x:c r="O6" s="197"/>
      <x:c r="AH6" t="str">
        <x:v>給与所得</x:v>
      </x:c>
      <x:c r="AI6" t="n">
        <x:f>IF(AI5&lt;=740999,0,IF(AI5&lt;=2190999,AI5-740000,IF(AI5&lt;=2192999,1451000,IF(AI5&lt;=2195999,1453000,IF(AI5&lt;=2199999,1456000,IF(AI5&lt;=3599999,ROUNDDOWN(AI5/4,-3)*2.8-80000,IF(AI5&lt;=6599999,ROUNDDOWN(AI5/4,-3)*3.2-440000,IF(AI5&lt;=8499999,AI5*90%-1100000,AI5-1950000))))))))</x:f>
        <x:v>8050000</x:v>
      </x:c>
    </x:row>
    <x:row r="7">
      <x:c r="A7" s="197"/>
      <x:c r="B7" s="197"/>
      <x:c r="C7" s="197"/>
      <x:c r="D7" s="197"/>
      <x:c r="E7" s="197"/>
      <x:c r="F7" s="197"/>
      <x:c r="G7" s="197"/>
      <x:c r="H7" s="197"/>
      <x:c r="I7" s="197"/>
      <x:c r="J7" s="197"/>
      <x:c r="K7" s="197"/>
      <x:c r="L7" s="197"/>
      <x:c r="M7" s="197"/>
      <x:c r="N7" s="197"/>
      <x:c r="O7" s="197"/>
      <x:c r="AH7" t="str">
        <x:v>事業所得</x:v>
      </x:c>
      <x:c r="AI7" t="n">
        <x:f>'診断'!$C$55</x:f>
        <x:v>0</x:v>
      </x:c>
    </x:row>
    <x:row r="8">
      <x:c r="A8" s="197"/>
      <x:c r="B8" s="197"/>
      <x:c r="C8" s="197"/>
      <x:c r="D8" s="197"/>
      <x:c r="E8" s="197"/>
      <x:c r="F8" s="197"/>
      <x:c r="G8" s="197"/>
      <x:c r="H8" s="197"/>
      <x:c r="I8" s="197"/>
      <x:c r="J8" s="197"/>
      <x:c r="K8" s="197"/>
      <x:c r="L8" s="197"/>
      <x:c r="M8" s="197"/>
      <x:c r="N8" s="197"/>
      <x:c r="O8" s="197"/>
      <x:c r="AH8" t="str">
        <x:v>合計所得</x:v>
      </x:c>
      <x:c r="AI8" t="n">
        <x:f>AI6+AI7</x:f>
        <x:v>8050000</x:v>
      </x:c>
    </x:row>
    <x:row r="9">
      <x:c r="A9" s="197"/>
      <x:c r="B9" s="197"/>
      <x:c r="C9" s="197"/>
      <x:c r="D9" s="197"/>
      <x:c r="E9" s="197"/>
      <x:c r="F9" s="197"/>
      <x:c r="G9" s="197"/>
      <x:c r="H9" s="197"/>
      <x:c r="I9" s="197"/>
      <x:c r="J9" s="197"/>
      <x:c r="K9" s="197"/>
      <x:c r="L9" s="197"/>
      <x:c r="M9" s="197"/>
      <x:c r="N9" s="197"/>
      <x:c r="O9" s="197"/>
      <x:c r="AH9" t="str">
        <x:v>所得税基礎控除</x:v>
      </x:c>
      <x:c r="AI9" t="n">
        <x:f>IF(AI8&lt;=4890000,1040000,IF(AI8&lt;=6550000,670000,IF(AI8&lt;=23500000,620000,IF(AI8&lt;=24000000,480000,IF(AI8&lt;=24500000,320000,IF(AI8&lt;=25000000,160000,0))))))</x:f>
        <x:v>620000</x:v>
      </x:c>
    </x:row>
    <x:row r="10">
      <x:c r="A10" s="197"/>
      <x:c r="B10" s="197"/>
      <x:c r="C10" s="197"/>
      <x:c r="D10" s="197"/>
      <x:c r="E10" s="197"/>
      <x:c r="F10" s="197"/>
      <x:c r="G10" s="197"/>
      <x:c r="H10" s="197"/>
      <x:c r="I10" s="197"/>
      <x:c r="J10" s="197"/>
      <x:c r="K10" s="197"/>
      <x:c r="L10" s="197"/>
      <x:c r="M10" s="197"/>
      <x:c r="N10" s="197"/>
      <x:c r="O10" s="197"/>
      <x:c r="AH10" t="str">
        <x:v>その他控除</x:v>
      </x:c>
      <x:c r="AI10" t="n">
        <x:f>'診断'!$C$56</x:f>
        <x:v>1500000</x:v>
      </x:c>
    </x:row>
    <x:row r="11">
      <x:c r="A11" s="197"/>
      <x:c r="B11" s="197"/>
      <x:c r="C11" s="197"/>
      <x:c r="D11" s="197"/>
      <x:c r="E11" s="197"/>
      <x:c r="F11" s="197"/>
      <x:c r="G11" s="197"/>
      <x:c r="H11" s="197"/>
      <x:c r="I11" s="197"/>
      <x:c r="J11" s="197"/>
      <x:c r="K11" s="197"/>
      <x:c r="L11" s="197"/>
      <x:c r="M11" s="197"/>
      <x:c r="N11" s="197"/>
      <x:c r="O11" s="197"/>
      <x:c r="AH11" t="str">
        <x:v>所得税課税所得</x:v>
      </x:c>
      <x:c r="AI11" t="n">
        <x:f>ROUNDDOWN(MAX(AI8-AI9-AI10,0),-3)</x:f>
        <x:v>5930000</x:v>
      </x:c>
    </x:row>
    <x:row r="12">
      <x:c r="A12" s="197"/>
      <x:c r="B12" s="197"/>
      <x:c r="C12" s="197"/>
      <x:c r="D12" s="197"/>
      <x:c r="E12" s="197"/>
      <x:c r="F12" s="197"/>
      <x:c r="G12" s="197"/>
      <x:c r="H12" s="197"/>
      <x:c r="I12" s="197"/>
      <x:c r="J12" s="197"/>
      <x:c r="K12" s="197"/>
      <x:c r="L12" s="197"/>
      <x:c r="M12" s="197"/>
      <x:c r="N12" s="197"/>
      <x:c r="O12" s="197"/>
      <x:c r="AH12" t="str">
        <x:v>投資前所得税等</x:v>
      </x:c>
      <x:c r="AI12" t="n">
        <x:f>ROUNDDOWN(MAX(IF(AI11&lt;=1949000,AI11*5%,IF(AI11&lt;=3299000,AI11*10%-97500,IF(AI11&lt;=6949000,AI11*20%-427500,IF(AI11&lt;=8999000,AI11*23%-636000,IF(AI11&lt;=17999000,AI11*33%-1536000,IF(AI11&lt;=39999000,AI11*40%-2796000,AI11*45%-4796000)))))),0),-2)+ROUNDDOWN(ROUNDDOWN(MAX(IF(AI11&lt;=1949000,AI11*5%,IF(AI11&lt;=3299000,AI11*10%-97500,IF(AI11&lt;=6949000,AI11*20%-427500,IF(AI11&lt;=8999000,AI11*23%-636000,IF(AI11&lt;=17999000,AI11*33%-1536000,IF(AI11&lt;=39999000,AI11*40%-2796000,AI11*45%-4796000)))))),0),-2)*2.1%,0)</x:f>
        <x:v>774428</x:v>
      </x:c>
    </x:row>
    <x:row r="13">
      <x:c r="A13" s="197"/>
      <x:c r="B13" s="197"/>
      <x:c r="C13" s="197"/>
      <x:c r="D13" s="197"/>
      <x:c r="E13" s="197"/>
      <x:c r="F13" s="197"/>
      <x:c r="G13" s="197"/>
      <x:c r="H13" s="197"/>
      <x:c r="I13" s="197"/>
      <x:c r="J13" s="197"/>
      <x:c r="K13" s="197"/>
      <x:c r="L13" s="197"/>
      <x:c r="M13" s="197"/>
      <x:c r="N13" s="197"/>
      <x:c r="O13" s="197"/>
      <x:c r="AH13" t="str">
        <x:v>住民税基礎控除</x:v>
      </x:c>
      <x:c r="AI13" t="n">
        <x:f>IF(AI8&lt;=24000000,430000,IF(AI8&lt;=24500000,290000,IF(AI8&lt;=25000000,150000,0)))</x:f>
        <x:v>430000</x:v>
      </x:c>
    </x:row>
    <x:row r="14">
      <x:c r="A14" s="197"/>
      <x:c r="B14" s="197"/>
      <x:c r="C14" s="197"/>
      <x:c r="D14" s="197"/>
      <x:c r="E14" s="197"/>
      <x:c r="F14" s="197"/>
      <x:c r="G14" s="197"/>
      <x:c r="H14" s="197"/>
      <x:c r="I14" s="197"/>
      <x:c r="J14" s="197"/>
      <x:c r="K14" s="197"/>
      <x:c r="L14" s="197"/>
      <x:c r="M14" s="197"/>
      <x:c r="N14" s="197"/>
      <x:c r="O14" s="197"/>
      <x:c r="AH14" t="str">
        <x:v>住民税課税所得</x:v>
      </x:c>
      <x:c r="AI14" t="n">
        <x:f>ROUNDDOWN(MAX(AI8-AI13-AI10,0),-3)</x:f>
        <x:v>6120000</x:v>
      </x:c>
    </x:row>
    <x:row r="15">
      <x:c r="A15" s="197"/>
      <x:c r="B15" s="197"/>
      <x:c r="C15" s="197"/>
      <x:c r="D15" s="197"/>
      <x:c r="E15" s="197"/>
      <x:c r="F15" s="197"/>
      <x:c r="G15" s="197"/>
      <x:c r="H15" s="197"/>
      <x:c r="I15" s="197"/>
      <x:c r="J15" s="197"/>
      <x:c r="K15" s="197"/>
      <x:c r="L15" s="197"/>
      <x:c r="M15" s="197"/>
      <x:c r="N15" s="197"/>
      <x:c r="O15" s="197"/>
      <x:c r="AH15" t="str">
        <x:v>投資前住民税</x:v>
      </x:c>
      <x:c r="AI15" t="n">
        <x:f>ROUNDDOWN(AI14*10%,0)+5000</x:f>
        <x:v>617000</x:v>
      </x:c>
    </x:row>
    <x:row r="16">
      <x:c r="A16" s="197"/>
      <x:c r="B16" s="197"/>
      <x:c r="C16" s="197"/>
      <x:c r="D16" s="197"/>
      <x:c r="E16" s="197"/>
      <x:c r="F16" s="197"/>
      <x:c r="G16" s="197"/>
      <x:c r="H16" s="197"/>
      <x:c r="I16" s="197"/>
      <x:c r="J16" s="197"/>
      <x:c r="K16" s="197"/>
      <x:c r="L16" s="197"/>
      <x:c r="M16" s="197"/>
      <x:c r="N16" s="197"/>
      <x:c r="O16" s="197"/>
      <x:c r="AH16" t="str">
        <x:v>投資前税額合計</x:v>
      </x:c>
      <x:c r="AI16" t="n">
        <x:f>AI12+AI15</x:f>
        <x:v>1391428</x:v>
      </x:c>
    </x:row>
    <x:row r="17">
      <x:c r="A17" s="197"/>
      <x:c r="B17" s="197"/>
      <x:c r="C17" s="197"/>
      <x:c r="D17" s="197"/>
      <x:c r="E17" s="197"/>
      <x:c r="F17" s="197"/>
      <x:c r="G17" s="197"/>
      <x:c r="H17" s="197"/>
      <x:c r="I17" s="197"/>
      <x:c r="J17" s="197"/>
      <x:c r="K17" s="197"/>
      <x:c r="L17" s="197"/>
      <x:c r="M17" s="197"/>
      <x:c r="N17" s="197"/>
      <x:c r="O17" s="197"/>
      <x:c r="AH17" t="str">
        <x:v>土地ローン</x:v>
      </x:c>
      <x:c r="AI17" t="n">
        <x:f>IF('診断'!$C$7&gt;0,MAX('診断'!$C$9-MIN(MAX('診断'!$C$9-'診断'!$C$7,0),'診断'!$C$8),0)*MAX('診断'!$C$7-'診断'!$C$50,0)/'診断'!$C$7,0)</x:f>
        <x:v>35000000</x:v>
      </x:c>
    </x:row>
    <x:row r="18">
      <x:c r="A18" s="197"/>
      <x:c r="B18" s="197"/>
      <x:c r="C18" s="197"/>
      <x:c r="D18" s="197"/>
      <x:c r="E18" s="197"/>
      <x:c r="F18" s="197"/>
      <x:c r="G18" s="197"/>
      <x:c r="H18" s="197"/>
      <x:c r="I18" s="197"/>
      <x:c r="J18" s="197"/>
      <x:c r="K18" s="197"/>
      <x:c r="L18" s="197"/>
      <x:c r="M18" s="197"/>
      <x:c r="N18" s="197"/>
      <x:c r="O18" s="197"/>
      <x:c r="AH18" t="str">
        <x:v>建物ローン</x:v>
      </x:c>
      <x:c r="AI18" t="n">
        <x:f>IF('診断'!$C$7&gt;0,MAX('診断'!$C$9-MIN(MAX('診断'!$C$9-'診断'!$C$7,0),'診断'!$C$8),0)*'診断'!$C$50/'診断'!$C$7,0)</x:f>
        <x:v>0</x:v>
      </x:c>
    </x:row>
    <x:row r="19">
      <x:c r="A19" s="197"/>
      <x:c r="B19" s="197"/>
      <x:c r="C19" s="197"/>
      <x:c r="D19" s="197"/>
      <x:c r="E19" s="197"/>
      <x:c r="F19" s="197"/>
      <x:c r="G19" s="197"/>
      <x:c r="H19" s="197"/>
      <x:c r="I19" s="197"/>
      <x:c r="J19" s="197"/>
      <x:c r="K19" s="197"/>
      <x:c r="L19" s="197"/>
      <x:c r="M19" s="197"/>
      <x:c r="N19" s="197"/>
      <x:c r="O19" s="197"/>
      <x:c r="AH19" t="str">
        <x:v>諸費用ローン</x:v>
      </x:c>
      <x:c r="AI19" t="n">
        <x:f>MIN(MAX('診断'!$C$9-'診断'!$C$7,0),'診断'!$C$8)</x:f>
        <x:v>1000000</x:v>
      </x:c>
    </x:row>
    <x:row r="20">
      <x:c r="A20" s="197"/>
      <x:c r="B20" s="197"/>
      <x:c r="C20" s="197"/>
      <x:c r="D20" s="197"/>
      <x:c r="E20" s="197"/>
      <x:c r="F20" s="197"/>
      <x:c r="G20" s="197"/>
      <x:c r="H20" s="197"/>
      <x:c r="I20" s="197"/>
      <x:c r="J20" s="197"/>
      <x:c r="K20" s="197"/>
      <x:c r="L20" s="197"/>
      <x:c r="M20" s="197"/>
      <x:c r="N20" s="197"/>
      <x:c r="O20" s="197"/>
      <x:c r="AH20" t="str">
        <x:v>税引後計算状態</x:v>
      </x:c>
      <x:c r="AI20" t="str">
        <x:f>'診断'!$C$59</x:f>
        <x:v>算定保留</x:v>
      </x:c>
    </x:row>
    <x:row r="21">
      <x:c r="A21" s="197"/>
      <x:c r="B21" s="197"/>
      <x:c r="C21" s="197"/>
      <x:c r="D21" s="197"/>
      <x:c r="E21" s="197"/>
      <x:c r="F21" s="197"/>
      <x:c r="G21" s="197"/>
      <x:c r="H21" s="197"/>
      <x:c r="I21" s="197"/>
      <x:c r="J21" s="197"/>
      <x:c r="K21" s="197"/>
      <x:c r="L21" s="197"/>
      <x:c r="M21" s="197"/>
      <x:c r="N21" s="197"/>
      <x:c r="O21" s="197"/>
    </x:row>
    <x:row r="22">
      <x:c r="A22" s="197"/>
      <x:c r="B22" s="197"/>
      <x:c r="C22" s="197"/>
      <x:c r="D22" s="197"/>
      <x:c r="E22" s="197"/>
      <x:c r="F22" s="197"/>
      <x:c r="G22" s="197"/>
      <x:c r="H22" s="197"/>
      <x:c r="I22" s="197"/>
      <x:c r="J22" s="197"/>
      <x:c r="K22" s="197"/>
      <x:c r="L22" s="197"/>
      <x:c r="M22" s="197"/>
      <x:c r="N22" s="197"/>
      <x:c r="O22" s="197"/>
    </x:row>
    <x:row r="23">
      <x:c r="A23" s="197"/>
      <x:c r="B23" s="197"/>
      <x:c r="C23" s="197"/>
      <x:c r="D23" s="197"/>
      <x:c r="E23" s="197"/>
      <x:c r="F23" s="197"/>
      <x:c r="G23" s="197"/>
      <x:c r="H23" s="197"/>
      <x:c r="I23" s="197"/>
      <x:c r="J23" s="197"/>
      <x:c r="K23" s="197"/>
      <x:c r="L23" s="197"/>
      <x:c r="M23" s="197"/>
      <x:c r="N23" s="197"/>
      <x:c r="O23" s="197"/>
    </x:row>
    <x:row r="24" ht="38" customHeight="1">
      <x:c r="A24" s="548" t="str">
        <x:v>年</x:v>
      </x:c>
      <x:c r="B24" s="548" t="str">
        <x:v>実効家賃</x:v>
      </x:c>
      <x:c r="C24" s="548" t="str">
        <x:v>運営費</x:v>
      </x:c>
      <x:c r="D24" s="548" t="str">
        <x:v>NOI</x:v>
      </x:c>
      <x:c r="E24" s="548" t="str">
        <x:v>ローン返済</x:v>
      </x:c>
      <x:c r="F24" s="548" t="str">
        <x:v>年間CF</x:v>
      </x:c>
      <x:c r="G24" s="548" t="str">
        <x:v>累積CF</x:v>
      </x:c>
      <x:c r="H24" s="548" t="str">
        <x:v>追加投入現金</x:v>
      </x:c>
      <x:c r="I24" s="548" t="str">
        <x:v>期末残債</x:v>
      </x:c>
      <x:c r="J24" s="548" t="str">
        <x:v>推定売却価格</x:v>
      </x:c>
      <x:c r="K24" s="548" t="str">
        <x:v>売却後手取り（税前）</x:v>
      </x:c>
      <x:c r="L24" s="548" t="str">
        <x:v>税引後CF</x:v>
      </x:c>
      <x:c r="M24" s="548" t="str">
        <x:v>税引後累積CF</x:v>
      </x:c>
      <x:c r="N24" s="548" t="str">
        <x:v>年間税効果</x:v>
      </x:c>
      <x:c r="O24" s="548" t="str">
        <x:v>累積税効果</x:v>
      </x:c>
    </x:row>
    <x:row r="25" ht="20" customHeight="1">
      <x:c r="A25" s="276" t="n">
        <x:f>IF($C$4="低位",A68,IF($C$4="高位",A148,A108))</x:f>
        <x:v>1</x:v>
      </x:c>
      <x:c r="B25" s="277" t="n">
        <x:f>ROUND(IF($C$4="低位",B68,IF($C$4="高位",B148,B108)),0)</x:f>
        <x:v>1482000</x:v>
      </x:c>
      <x:c r="C25" s="277" t="n">
        <x:f>ROUND(IF($C$4="低位",C68,IF($C$4="高位",C148,C108)),0)</x:f>
        <x:v>524100</x:v>
      </x:c>
      <x:c r="D25" s="277" t="n">
        <x:f>ROUND(IF($C$4="低位",D68,IF($C$4="高位",D148,D108)),0)</x:f>
        <x:v>957900</x:v>
      </x:c>
      <x:c r="E25" s="277" t="n">
        <x:f>ROUND(IF($C$4="低位",E68,IF($C$4="高位",E148,E108)),0)</x:f>
        <x:v>1387115</x:v>
      </x:c>
      <x:c r="F25" s="277" t="n">
        <x:f>ROUND(IF($C$4="低位",F68,IF($C$4="高位",F148,F108)),0)</x:f>
        <x:v>-429215</x:v>
      </x:c>
      <x:c r="G25" s="277" t="n">
        <x:f>ROUND(IF($C$4="低位",G68,IF($C$4="高位",G148,G108)),0)</x:f>
        <x:v>-429215</x:v>
      </x:c>
      <x:c r="H25" s="277" t="n">
        <x:f>ROUND(IF($C$4="低位",H68,IF($C$4="高位",H148,H108)),0)</x:f>
        <x:v>429215</x:v>
      </x:c>
      <x:c r="I25" s="277" t="n">
        <x:f>ROUND(IF($C$4="低位",I68,IF($C$4="高位",I148,I108)),0)</x:f>
        <x:v>35254757</x:v>
      </x:c>
      <x:c r="J25" s="277" t="n">
        <x:f>ROUND(IF($C$4="低位",J68,IF($C$4="高位",J148,J108)),0)</x:f>
        <x:v>34650000</x:v>
      </x:c>
      <x:c r="K25" s="277" t="n">
        <x:f>ROUND(IF($C$4="低位",K68,IF($C$4="高位",K148,K108)),0)</x:f>
        <x:v>-1848207</x:v>
      </x:c>
      <x:c r="L25" s="409" t="str">
        <x:f>IF('診断'!$C$59&lt;&gt;"OK","",ROUND(IF($C$4="低位",X68,IF($C$4="高位",X148,X108)),0))</x:f>
      </x:c>
      <x:c r="M25" s="409" t="str">
        <x:f>IF('診断'!$C$59&lt;&gt;"OK","",ROUND(IF($C$4="低位",Y68,IF($C$4="高位",Y148,Y108)),0))</x:f>
      </x:c>
      <x:c r="N25" s="409" t="str">
        <x:f>IF('診断'!$C$59&lt;&gt;"OK","",ROUND(IF($C$4="低位",W68,IF($C$4="高位",W148,W108)),0))</x:f>
      </x:c>
      <x:c r="O25" s="409" t="str">
        <x:f>IF('診断'!$C$59&lt;&gt;"OK","",ROUND(IF($C$4="低位",Y68-G68,IF($C$4="高位",Y148-G148,Y108-G108)),0))</x:f>
      </x:c>
    </x:row>
    <x:row r="26" ht="20" customHeight="1">
      <x:c r="A26" s="276" t="n">
        <x:f>IF($C$4="低位",A69,IF($C$4="高位",A149,A109))</x:f>
        <x:v>2</x:v>
      </x:c>
      <x:c r="B26" s="277" t="n">
        <x:f>ROUND(IF($C$4="低位",B69,IF($C$4="高位",B149,B109)),0)</x:f>
        <x:v>1474590</x:v>
      </x:c>
      <x:c r="C26" s="277" t="n">
        <x:f>ROUND(IF($C$4="低位",C69,IF($C$4="高位",C149,C109)),0)</x:f>
        <x:v>523730</x:v>
      </x:c>
      <x:c r="D26" s="277" t="n">
        <x:f>ROUND(IF($C$4="低位",D69,IF($C$4="高位",D149,D109)),0)</x:f>
        <x:v>950861</x:v>
      </x:c>
      <x:c r="E26" s="277" t="n">
        <x:f>ROUND(IF($C$4="低位",E69,IF($C$4="高位",E149,E109)),0)</x:f>
        <x:v>1387115</x:v>
      </x:c>
      <x:c r="F26" s="277" t="n">
        <x:f>ROUND(IF($C$4="低位",F69,IF($C$4="高位",F149,F109)),0)</x:f>
        <x:v>-436254</x:v>
      </x:c>
      <x:c r="G26" s="277" t="n">
        <x:f>ROUND(IF($C$4="低位",G69,IF($C$4="高位",G149,G109)),0)</x:f>
        <x:v>-865469</x:v>
      </x:c>
      <x:c r="H26" s="277" t="n">
        <x:f>ROUND(IF($C$4="低位",H69,IF($C$4="高位",H149,H109)),0)</x:f>
        <x:v>865469</x:v>
      </x:c>
      <x:c r="I26" s="277" t="n">
        <x:f>ROUND(IF($C$4="低位",I69,IF($C$4="高位",I149,I109)),0)</x:f>
        <x:v>34495988</x:v>
      </x:c>
      <x:c r="J26" s="277" t="n">
        <x:f>ROUND(IF($C$4="低位",J69,IF($C$4="高位",J149,J109)),0)</x:f>
        <x:v>34303500</x:v>
      </x:c>
      <x:c r="K26" s="277" t="n">
        <x:f>ROUND(IF($C$4="低位",K69,IF($C$4="高位",K149,K109)),0)</x:f>
        <x:v>-1424504</x:v>
      </x:c>
      <x:c r="L26" s="409" t="str">
        <x:f>IF('診断'!$C$59&lt;&gt;"OK","",ROUND(IF($C$4="低位",X69,IF($C$4="高位",X149,X109)),0))</x:f>
      </x:c>
      <x:c r="M26" s="409" t="str">
        <x:f>IF('診断'!$C$59&lt;&gt;"OK","",ROUND(IF($C$4="低位",Y69,IF($C$4="高位",Y149,Y109)),0))</x:f>
      </x:c>
      <x:c r="N26" s="409" t="str">
        <x:f>IF('診断'!$C$59&lt;&gt;"OK","",ROUND(IF($C$4="低位",W69,IF($C$4="高位",W149,W109)),0))</x:f>
      </x:c>
      <x:c r="O26" s="409" t="str">
        <x:f>IF('診断'!$C$59&lt;&gt;"OK","",ROUND(IF($C$4="低位",Y69-G69,IF($C$4="高位",Y149-G149,Y109-G109)),0))</x:f>
      </x:c>
    </x:row>
    <x:row r="27" ht="20" customHeight="1">
      <x:c r="A27" s="276" t="n">
        <x:f>IF($C$4="低位",A70,IF($C$4="高位",A150,A110))</x:f>
        <x:v>3</x:v>
      </x:c>
      <x:c r="B27" s="277" t="n">
        <x:f>ROUND(IF($C$4="低位",B70,IF($C$4="高位",B150,B110)),0)</x:f>
        <x:v>1467217</x:v>
      </x:c>
      <x:c r="C27" s="277" t="n">
        <x:f>ROUND(IF($C$4="低位",C70,IF($C$4="高位",C150,C110)),0)</x:f>
        <x:v>523361</x:v>
      </x:c>
      <x:c r="D27" s="277" t="n">
        <x:f>ROUND(IF($C$4="低位",D70,IF($C$4="高位",D150,D110)),0)</x:f>
        <x:v>943856</x:v>
      </x:c>
      <x:c r="E27" s="277" t="n">
        <x:f>ROUND(IF($C$4="低位",E70,IF($C$4="高位",E150,E110)),0)</x:f>
        <x:v>1387115</x:v>
      </x:c>
      <x:c r="F27" s="277" t="n">
        <x:f>ROUND(IF($C$4="低位",F70,IF($C$4="高位",F150,F110)),0)</x:f>
        <x:v>-443259</x:v>
      </x:c>
      <x:c r="G27" s="277" t="n">
        <x:f>ROUND(IF($C$4="低位",G70,IF($C$4="高位",G150,G110)),0)</x:f>
        <x:v>-1308728</x:v>
      </x:c>
      <x:c r="H27" s="277" t="n">
        <x:f>ROUND(IF($C$4="低位",H70,IF($C$4="高位",H150,H110)),0)</x:f>
        <x:v>1308728</x:v>
      </x:c>
      <x:c r="I27" s="277" t="n">
        <x:f>ROUND(IF($C$4="低位",I70,IF($C$4="高位",I150,I110)),0)</x:f>
        <x:v>33723449</x:v>
      </x:c>
      <x:c r="J27" s="277" t="n">
        <x:f>ROUND(IF($C$4="低位",J70,IF($C$4="高位",J150,J110)),0)</x:f>
        <x:v>33960465</x:v>
      </x:c>
      <x:c r="K27" s="277" t="n">
        <x:f>ROUND(IF($C$4="低位",K70,IF($C$4="高位",K150,K110)),0)</x:f>
        <x:v>-983679</x:v>
      </x:c>
      <x:c r="L27" s="409" t="str">
        <x:f>IF('診断'!$C$59&lt;&gt;"OK","",ROUND(IF($C$4="低位",X70,IF($C$4="高位",X150,X110)),0))</x:f>
      </x:c>
      <x:c r="M27" s="409" t="str">
        <x:f>IF('診断'!$C$59&lt;&gt;"OK","",ROUND(IF($C$4="低位",Y70,IF($C$4="高位",Y150,Y110)),0))</x:f>
      </x:c>
      <x:c r="N27" s="409" t="str">
        <x:f>IF('診断'!$C$59&lt;&gt;"OK","",ROUND(IF($C$4="低位",W70,IF($C$4="高位",W150,W110)),0))</x:f>
      </x:c>
      <x:c r="O27" s="409" t="str">
        <x:f>IF('診断'!$C$59&lt;&gt;"OK","",ROUND(IF($C$4="低位",Y70-G70,IF($C$4="高位",Y150-G150,Y110-G110)),0))</x:f>
      </x:c>
    </x:row>
    <x:row r="28" ht="20" customHeight="1">
      <x:c r="A28" s="276" t="n">
        <x:f>IF($C$4="低位",A71,IF($C$4="高位",A151,A111))</x:f>
        <x:v>4</x:v>
      </x:c>
      <x:c r="B28" s="277" t="n">
        <x:f>ROUND(IF($C$4="低位",B71,IF($C$4="高位",B151,B111)),0)</x:f>
        <x:v>1459881</x:v>
      </x:c>
      <x:c r="C28" s="277" t="n">
        <x:f>ROUND(IF($C$4="低位",C71,IF($C$4="高位",C151,C111)),0)</x:f>
        <x:v>522994</x:v>
      </x:c>
      <x:c r="D28" s="277" t="n">
        <x:f>ROUND(IF($C$4="低位",D71,IF($C$4="高位",D151,D111)),0)</x:f>
        <x:v>936887</x:v>
      </x:c>
      <x:c r="E28" s="277" t="n">
        <x:f>ROUND(IF($C$4="低位",E71,IF($C$4="高位",E151,E111)),0)</x:f>
        <x:v>1387115</x:v>
      </x:c>
      <x:c r="F28" s="277" t="n">
        <x:f>ROUND(IF($C$4="低位",F71,IF($C$4="高位",F151,F111)),0)</x:f>
        <x:v>-450228</x:v>
      </x:c>
      <x:c r="G28" s="277" t="n">
        <x:f>ROUND(IF($C$4="低位",G71,IF($C$4="高位",G151,G111)),0)</x:f>
        <x:v>-1758955</x:v>
      </x:c>
      <x:c r="H28" s="277" t="n">
        <x:f>ROUND(IF($C$4="低位",H71,IF($C$4="高位",H151,H111)),0)</x:f>
        <x:v>1758955</x:v>
      </x:c>
      <x:c r="I28" s="277" t="n">
        <x:f>ROUND(IF($C$4="低位",I71,IF($C$4="高位",I151,I111)),0)</x:f>
        <x:v>32936888</x:v>
      </x:c>
      <x:c r="J28" s="277" t="n">
        <x:f>ROUND(IF($C$4="低位",J71,IF($C$4="高位",J151,J111)),0)</x:f>
        <x:v>33620860</x:v>
      </x:c>
      <x:c r="K28" s="277" t="n">
        <x:f>ROUND(IF($C$4="低位",K71,IF($C$4="高位",K151,K111)),0)</x:f>
        <x:v>-525516</x:v>
      </x:c>
      <x:c r="L28" s="409" t="str">
        <x:f>IF('診断'!$C$59&lt;&gt;"OK","",ROUND(IF($C$4="低位",X71,IF($C$4="高位",X151,X111)),0))</x:f>
      </x:c>
      <x:c r="M28" s="409" t="str">
        <x:f>IF('診断'!$C$59&lt;&gt;"OK","",ROUND(IF($C$4="低位",Y71,IF($C$4="高位",Y151,Y111)),0))</x:f>
      </x:c>
      <x:c r="N28" s="409" t="str">
        <x:f>IF('診断'!$C$59&lt;&gt;"OK","",ROUND(IF($C$4="低位",W71,IF($C$4="高位",W151,W111)),0))</x:f>
      </x:c>
      <x:c r="O28" s="409" t="str">
        <x:f>IF('診断'!$C$59&lt;&gt;"OK","",ROUND(IF($C$4="低位",Y71-G71,IF($C$4="高位",Y151-G151,Y111-G111)),0))</x:f>
      </x:c>
    </x:row>
    <x:row r="29" ht="20" customHeight="1">
      <x:c r="A29" s="276" t="n">
        <x:f>IF($C$4="低位",A72,IF($C$4="高位",A152,A112))</x:f>
        <x:v>5</x:v>
      </x:c>
      <x:c r="B29" s="277" t="n">
        <x:f>ROUND(IF($C$4="低位",B72,IF($C$4="高位",B152,B112)),0)</x:f>
        <x:v>1452582</x:v>
      </x:c>
      <x:c r="C29" s="277" t="n">
        <x:f>ROUND(IF($C$4="低位",C72,IF($C$4="高位",C152,C112)),0)</x:f>
        <x:v>522629</x:v>
      </x:c>
      <x:c r="D29" s="277" t="n">
        <x:f>ROUND(IF($C$4="低位",D72,IF($C$4="高位",D152,D112)),0)</x:f>
        <x:v>929952</x:v>
      </x:c>
      <x:c r="E29" s="277" t="n">
        <x:f>ROUND(IF($C$4="低位",E72,IF($C$4="高位",E152,E112)),0)</x:f>
        <x:v>1387115</x:v>
      </x:c>
      <x:c r="F29" s="277" t="n">
        <x:f>ROUND(IF($C$4="低位",F72,IF($C$4="高位",F152,F112)),0)</x:f>
        <x:v>-457162</x:v>
      </x:c>
      <x:c r="G29" s="277" t="n">
        <x:f>ROUND(IF($C$4="低位",G72,IF($C$4="高位",G152,G112)),0)</x:f>
        <x:v>-2216118</x:v>
      </x:c>
      <x:c r="H29" s="277" t="n">
        <x:f>ROUND(IF($C$4="低位",H72,IF($C$4="高位",H152,H112)),0)</x:f>
        <x:v>2216118</x:v>
      </x:c>
      <x:c r="I29" s="277" t="n">
        <x:f>ROUND(IF($C$4="低位",I72,IF($C$4="高位",I152,I112)),0)</x:f>
        <x:v>32136052</x:v>
      </x:c>
      <x:c r="J29" s="277" t="n">
        <x:f>ROUND(IF($C$4="低位",J72,IF($C$4="高位",J152,J112)),0)</x:f>
        <x:v>33284652</x:v>
      </x:c>
      <x:c r="K29" s="277" t="n">
        <x:f>ROUND(IF($C$4="低位",K72,IF($C$4="高位",K152,K112)),0)</x:f>
        <x:v>-49794</x:v>
      </x:c>
      <x:c r="L29" s="409" t="str">
        <x:f>IF('診断'!$C$59&lt;&gt;"OK","",ROUND(IF($C$4="低位",X72,IF($C$4="高位",X152,X112)),0))</x:f>
      </x:c>
      <x:c r="M29" s="409" t="str">
        <x:f>IF('診断'!$C$59&lt;&gt;"OK","",ROUND(IF($C$4="低位",Y72,IF($C$4="高位",Y152,Y112)),0))</x:f>
      </x:c>
      <x:c r="N29" s="409" t="str">
        <x:f>IF('診断'!$C$59&lt;&gt;"OK","",ROUND(IF($C$4="低位",W72,IF($C$4="高位",W152,W112)),0))</x:f>
      </x:c>
      <x:c r="O29" s="409" t="str">
        <x:f>IF('診断'!$C$59&lt;&gt;"OK","",ROUND(IF($C$4="低位",Y72-G72,IF($C$4="高位",Y152-G152,Y112-G112)),0))</x:f>
      </x:c>
    </x:row>
    <x:row r="30" ht="20" customHeight="1">
      <x:c r="A30" s="276" t="n">
        <x:f>IF($C$4="低位",A73,IF($C$4="高位",A153,A113))</x:f>
        <x:v>6</x:v>
      </x:c>
      <x:c r="B30" s="277" t="n">
        <x:f>ROUND(IF($C$4="低位",B73,IF($C$4="高位",B153,B113)),0)</x:f>
        <x:v>1445319</x:v>
      </x:c>
      <x:c r="C30" s="277" t="n">
        <x:f>ROUND(IF($C$4="低位",C73,IF($C$4="高位",C153,C113)),0)</x:f>
        <x:v>522266</x:v>
      </x:c>
      <x:c r="D30" s="277" t="n">
        <x:f>ROUND(IF($C$4="低位",D73,IF($C$4="高位",D153,D113)),0)</x:f>
        <x:v>923053</x:v>
      </x:c>
      <x:c r="E30" s="277" t="n">
        <x:f>ROUND(IF($C$4="低位",E73,IF($C$4="高位",E153,E113)),0)</x:f>
        <x:v>1387115</x:v>
      </x:c>
      <x:c r="F30" s="277" t="n">
        <x:f>ROUND(IF($C$4="低位",F73,IF($C$4="高位",F153,F113)),0)</x:f>
        <x:v>-464062</x:v>
      </x:c>
      <x:c r="G30" s="277" t="n">
        <x:f>ROUND(IF($C$4="低位",G73,IF($C$4="高位",G153,G113)),0)</x:f>
        <x:v>-2680180</x:v>
      </x:c>
      <x:c r="H30" s="277" t="n">
        <x:f>ROUND(IF($C$4="低位",H73,IF($C$4="高位",H153,H113)),0)</x:f>
        <x:v>2680180</x:v>
      </x:c>
      <x:c r="I30" s="277" t="n">
        <x:f>ROUND(IF($C$4="低位",I73,IF($C$4="高位",I153,I113)),0)</x:f>
        <x:v>31320681</x:v>
      </x:c>
      <x:c r="J30" s="277" t="n">
        <x:f>ROUND(IF($C$4="低位",J73,IF($C$4="高位",J153,J113)),0)</x:f>
        <x:v>32951805</x:v>
      </x:c>
      <x:c r="K30" s="277" t="n">
        <x:f>ROUND(IF($C$4="低位",K73,IF($C$4="高位",K153,K113)),0)</x:f>
        <x:v>443715</x:v>
      </x:c>
      <x:c r="L30" s="409" t="str">
        <x:f>IF('診断'!$C$59&lt;&gt;"OK","",ROUND(IF($C$4="低位",X73,IF($C$4="高位",X153,X113)),0))</x:f>
      </x:c>
      <x:c r="M30" s="409" t="str">
        <x:f>IF('診断'!$C$59&lt;&gt;"OK","",ROUND(IF($C$4="低位",Y73,IF($C$4="高位",Y153,Y113)),0))</x:f>
      </x:c>
      <x:c r="N30" s="409" t="str">
        <x:f>IF('診断'!$C$59&lt;&gt;"OK","",ROUND(IF($C$4="低位",W73,IF($C$4="高位",W153,W113)),0))</x:f>
      </x:c>
      <x:c r="O30" s="409" t="str">
        <x:f>IF('診断'!$C$59&lt;&gt;"OK","",ROUND(IF($C$4="低位",Y73-G73,IF($C$4="高位",Y153-G153,Y113-G113)),0))</x:f>
      </x:c>
    </x:row>
    <x:row r="31" ht="20" customHeight="1">
      <x:c r="A31" s="276" t="n">
        <x:f>IF($C$4="低位",A74,IF($C$4="高位",A154,A114))</x:f>
        <x:v>7</x:v>
      </x:c>
      <x:c r="B31" s="277" t="n">
        <x:f>ROUND(IF($C$4="低位",B74,IF($C$4="高位",B154,B114)),0)</x:f>
        <x:v>1438092</x:v>
      </x:c>
      <x:c r="C31" s="277" t="n">
        <x:f>ROUND(IF($C$4="低位",C74,IF($C$4="高位",C154,C114)),0)</x:f>
        <x:v>521905</x:v>
      </x:c>
      <x:c r="D31" s="277" t="n">
        <x:f>ROUND(IF($C$4="低位",D74,IF($C$4="高位",D154,D114)),0)</x:f>
        <x:v>916187</x:v>
      </x:c>
      <x:c r="E31" s="277" t="n">
        <x:f>ROUND(IF($C$4="低位",E74,IF($C$4="高位",E154,E114)),0)</x:f>
        <x:v>1387115</x:v>
      </x:c>
      <x:c r="F31" s="277" t="n">
        <x:f>ROUND(IF($C$4="低位",F74,IF($C$4="高位",F154,F114)),0)</x:f>
        <x:v>-470927</x:v>
      </x:c>
      <x:c r="G31" s="277" t="n">
        <x:f>ROUND(IF($C$4="低位",G74,IF($C$4="高位",G154,G114)),0)</x:f>
        <x:v>-3151107</x:v>
      </x:c>
      <x:c r="H31" s="277" t="n">
        <x:f>ROUND(IF($C$4="低位",H74,IF($C$4="高位",H154,H114)),0)</x:f>
        <x:v>3151107</x:v>
      </x:c>
      <x:c r="I31" s="277" t="n">
        <x:f>ROUND(IF($C$4="低位",I74,IF($C$4="高位",I154,I114)),0)</x:f>
        <x:v>30490512</x:v>
      </x:c>
      <x:c r="J31" s="277" t="n">
        <x:f>ROUND(IF($C$4="低位",J74,IF($C$4="高位",J154,J114)),0)</x:f>
        <x:v>32622287</x:v>
      </x:c>
      <x:c r="K31" s="277" t="n">
        <x:f>ROUND(IF($C$4="低位",K74,IF($C$4="高位",K154,K114)),0)</x:f>
        <x:v>955240</x:v>
      </x:c>
      <x:c r="L31" s="409" t="str">
        <x:f>IF('診断'!$C$59&lt;&gt;"OK","",ROUND(IF($C$4="低位",X74,IF($C$4="高位",X154,X114)),0))</x:f>
      </x:c>
      <x:c r="M31" s="409" t="str">
        <x:f>IF('診断'!$C$59&lt;&gt;"OK","",ROUND(IF($C$4="低位",Y74,IF($C$4="高位",Y154,Y114)),0))</x:f>
      </x:c>
      <x:c r="N31" s="409" t="str">
        <x:f>IF('診断'!$C$59&lt;&gt;"OK","",ROUND(IF($C$4="低位",W74,IF($C$4="高位",W154,W114)),0))</x:f>
      </x:c>
      <x:c r="O31" s="409" t="str">
        <x:f>IF('診断'!$C$59&lt;&gt;"OK","",ROUND(IF($C$4="低位",Y74-G74,IF($C$4="高位",Y154-G154,Y114-G114)),0))</x:f>
      </x:c>
    </x:row>
    <x:row r="32" ht="20" customHeight="1">
      <x:c r="A32" s="276" t="n">
        <x:f>IF($C$4="低位",A75,IF($C$4="高位",A155,A115))</x:f>
        <x:v>8</x:v>
      </x:c>
      <x:c r="B32" s="277" t="n">
        <x:f>ROUND(IF($C$4="低位",B75,IF($C$4="高位",B155,B115)),0)</x:f>
        <x:v>1430902</x:v>
      </x:c>
      <x:c r="C32" s="277" t="n">
        <x:f>ROUND(IF($C$4="低位",C75,IF($C$4="高位",C155,C115)),0)</x:f>
        <x:v>521545</x:v>
      </x:c>
      <x:c r="D32" s="277" t="n">
        <x:f>ROUND(IF($C$4="低位",D75,IF($C$4="高位",D155,D115)),0)</x:f>
        <x:v>909357</x:v>
      </x:c>
      <x:c r="E32" s="277" t="n">
        <x:f>ROUND(IF($C$4="低位",E75,IF($C$4="高位",E155,E115)),0)</x:f>
        <x:v>1387115</x:v>
      </x:c>
      <x:c r="F32" s="277" t="n">
        <x:f>ROUND(IF($C$4="低位",F75,IF($C$4="高位",F155,F115)),0)</x:f>
        <x:v>-477758</x:v>
      </x:c>
      <x:c r="G32" s="277" t="n">
        <x:f>ROUND(IF($C$4="低位",G75,IF($C$4="高位",G155,G115)),0)</x:f>
        <x:v>-3628865</x:v>
      </x:c>
      <x:c r="H32" s="277" t="n">
        <x:f>ROUND(IF($C$4="低位",H75,IF($C$4="高位",H155,H115)),0)</x:f>
        <x:v>3628865</x:v>
      </x:c>
      <x:c r="I32" s="277" t="n">
        <x:f>ROUND(IF($C$4="低位",I75,IF($C$4="高位",I155,I115)),0)</x:f>
        <x:v>29645276</x:v>
      </x:c>
      <x:c r="J32" s="277" t="n">
        <x:f>ROUND(IF($C$4="低位",J75,IF($C$4="高位",J155,J115)),0)</x:f>
        <x:v>32296064</x:v>
      </x:c>
      <x:c r="K32" s="277" t="n">
        <x:f>ROUND(IF($C$4="低位",K75,IF($C$4="高位",K155,K115)),0)</x:f>
        <x:v>1485018</x:v>
      </x:c>
      <x:c r="L32" s="409" t="str">
        <x:f>IF('診断'!$C$59&lt;&gt;"OK","",ROUND(IF($C$4="低位",X75,IF($C$4="高位",X155,X115)),0))</x:f>
      </x:c>
      <x:c r="M32" s="409" t="str">
        <x:f>IF('診断'!$C$59&lt;&gt;"OK","",ROUND(IF($C$4="低位",Y75,IF($C$4="高位",Y155,Y115)),0))</x:f>
      </x:c>
      <x:c r="N32" s="409" t="str">
        <x:f>IF('診断'!$C$59&lt;&gt;"OK","",ROUND(IF($C$4="低位",W75,IF($C$4="高位",W155,W115)),0))</x:f>
      </x:c>
      <x:c r="O32" s="409" t="str">
        <x:f>IF('診断'!$C$59&lt;&gt;"OK","",ROUND(IF($C$4="低位",Y75-G75,IF($C$4="高位",Y155-G155,Y115-G115)),0))</x:f>
      </x:c>
    </x:row>
    <x:row r="33" ht="20" customHeight="1">
      <x:c r="A33" s="276" t="n">
        <x:f>IF($C$4="低位",A76,IF($C$4="高位",A156,A116))</x:f>
        <x:v>9</x:v>
      </x:c>
      <x:c r="B33" s="277" t="n">
        <x:f>ROUND(IF($C$4="低位",B76,IF($C$4="高位",B156,B116)),0)</x:f>
        <x:v>1423747</x:v>
      </x:c>
      <x:c r="C33" s="277" t="n">
        <x:f>ROUND(IF($C$4="低位",C76,IF($C$4="高位",C156,C116)),0)</x:f>
        <x:v>521187</x:v>
      </x:c>
      <x:c r="D33" s="277" t="n">
        <x:f>ROUND(IF($C$4="低位",D76,IF($C$4="高位",D156,D116)),0)</x:f>
        <x:v>902560</x:v>
      </x:c>
      <x:c r="E33" s="277" t="n">
        <x:f>ROUND(IF($C$4="低位",E76,IF($C$4="高位",E156,E116)),0)</x:f>
        <x:v>1387115</x:v>
      </x:c>
      <x:c r="F33" s="277" t="n">
        <x:f>ROUND(IF($C$4="低位",F76,IF($C$4="高位",F156,F116)),0)</x:f>
        <x:v>-484555</x:v>
      </x:c>
      <x:c r="G33" s="277" t="n">
        <x:f>ROUND(IF($C$4="低位",G76,IF($C$4="高位",G156,G116)),0)</x:f>
        <x:v>-4113420</x:v>
      </x:c>
      <x:c r="H33" s="277" t="n">
        <x:f>ROUND(IF($C$4="低位",H76,IF($C$4="高位",H156,H116)),0)</x:f>
        <x:v>4113420</x:v>
      </x:c>
      <x:c r="I33" s="277" t="n">
        <x:f>ROUND(IF($C$4="低位",I76,IF($C$4="高位",I156,I116)),0)</x:f>
        <x:v>28784699</x:v>
      </x:c>
      <x:c r="J33" s="277" t="n">
        <x:f>ROUND(IF($C$4="低位",J76,IF($C$4="高位",J156,J116)),0)</x:f>
        <x:v>31973104</x:v>
      </x:c>
      <x:c r="K33" s="277" t="n">
        <x:f>ROUND(IF($C$4="低位",K76,IF($C$4="高位",K156,K116)),0)</x:f>
        <x:v>2033292</x:v>
      </x:c>
      <x:c r="L33" s="409" t="str">
        <x:f>IF('診断'!$C$59&lt;&gt;"OK","",ROUND(IF($C$4="低位",X76,IF($C$4="高位",X156,X116)),0))</x:f>
      </x:c>
      <x:c r="M33" s="409" t="str">
        <x:f>IF('診断'!$C$59&lt;&gt;"OK","",ROUND(IF($C$4="低位",Y76,IF($C$4="高位",Y156,Y116)),0))</x:f>
      </x:c>
      <x:c r="N33" s="409" t="str">
        <x:f>IF('診断'!$C$59&lt;&gt;"OK","",ROUND(IF($C$4="低位",W76,IF($C$4="高位",W156,W116)),0))</x:f>
      </x:c>
      <x:c r="O33" s="409" t="str">
        <x:f>IF('診断'!$C$59&lt;&gt;"OK","",ROUND(IF($C$4="低位",Y76-G76,IF($C$4="高位",Y156-G156,Y116-G116)),0))</x:f>
      </x:c>
    </x:row>
    <x:row r="34" ht="20" customHeight="1">
      <x:c r="A34" s="276" t="n">
        <x:f>IF($C$4="低位",A77,IF($C$4="高位",A157,A117))</x:f>
        <x:v>10</x:v>
      </x:c>
      <x:c r="B34" s="277" t="n">
        <x:f>ROUND(IF($C$4="低位",B77,IF($C$4="高位",B157,B117)),0)</x:f>
        <x:v>1416628</x:v>
      </x:c>
      <x:c r="C34" s="277" t="n">
        <x:f>ROUND(IF($C$4="低位",C77,IF($C$4="高位",C157,C117)),0)</x:f>
        <x:v>520831</x:v>
      </x:c>
      <x:c r="D34" s="277" t="n">
        <x:f>ROUND(IF($C$4="低位",D77,IF($C$4="高位",D157,D117)),0)</x:f>
        <x:v>895797</x:v>
      </x:c>
      <x:c r="E34" s="277" t="n">
        <x:f>ROUND(IF($C$4="低位",E77,IF($C$4="高位",E157,E117)),0)</x:f>
        <x:v>1387115</x:v>
      </x:c>
      <x:c r="F34" s="277" t="n">
        <x:f>ROUND(IF($C$4="低位",F77,IF($C$4="高位",F157,F117)),0)</x:f>
        <x:v>-491318</x:v>
      </x:c>
      <x:c r="G34" s="277" t="n">
        <x:f>ROUND(IF($C$4="低位",G77,IF($C$4="高位",G157,G117)),0)</x:f>
        <x:v>-4604738</x:v>
      </x:c>
      <x:c r="H34" s="277" t="n">
        <x:f>ROUND(IF($C$4="低位",H77,IF($C$4="高位",H157,H117)),0)</x:f>
        <x:v>4604738</x:v>
      </x:c>
      <x:c r="I34" s="277" t="n">
        <x:f>ROUND(IF($C$4="低位",I77,IF($C$4="高位",I157,I117)),0)</x:f>
        <x:v>27908504</x:v>
      </x:c>
      <x:c r="J34" s="277" t="n">
        <x:f>ROUND(IF($C$4="低位",J77,IF($C$4="高位",J157,J117)),0)</x:f>
        <x:v>31653373</x:v>
      </x:c>
      <x:c r="K34" s="277" t="n">
        <x:f>ROUND(IF($C$4="低位",K77,IF($C$4="高位",K157,K117)),0)</x:f>
        <x:v>2600307</x:v>
      </x:c>
      <x:c r="L34" s="409" t="str">
        <x:f>IF('診断'!$C$59&lt;&gt;"OK","",ROUND(IF($C$4="低位",X77,IF($C$4="高位",X157,X117)),0))</x:f>
      </x:c>
      <x:c r="M34" s="409" t="str">
        <x:f>IF('診断'!$C$59&lt;&gt;"OK","",ROUND(IF($C$4="低位",Y77,IF($C$4="高位",Y157,Y117)),0))</x:f>
      </x:c>
      <x:c r="N34" s="409" t="str">
        <x:f>IF('診断'!$C$59&lt;&gt;"OK","",ROUND(IF($C$4="低位",W77,IF($C$4="高位",W157,W117)),0))</x:f>
      </x:c>
      <x:c r="O34" s="409" t="str">
        <x:f>IF('診断'!$C$59&lt;&gt;"OK","",ROUND(IF($C$4="低位",Y77-G77,IF($C$4="高位",Y157-G157,Y117-G117)),0))</x:f>
      </x:c>
    </x:row>
    <x:row r="35" ht="20" customHeight="1">
      <x:c r="A35" s="276" t="n">
        <x:f>IF($C$4="低位",A78,IF($C$4="高位",A158,A118))</x:f>
        <x:v>11</x:v>
      </x:c>
      <x:c r="B35" s="277" t="n">
        <x:f>ROUND(IF($C$4="低位",B78,IF($C$4="高位",B158,B118)),0)</x:f>
        <x:v>1409545</x:v>
      </x:c>
      <x:c r="C35" s="277" t="n">
        <x:f>ROUND(IF($C$4="低位",C78,IF($C$4="高位",C158,C118)),0)</x:f>
        <x:v>520477</x:v>
      </x:c>
      <x:c r="D35" s="277" t="n">
        <x:f>ROUND(IF($C$4="低位",D78,IF($C$4="高位",D158,D118)),0)</x:f>
        <x:v>889068</x:v>
      </x:c>
      <x:c r="E35" s="277" t="n">
        <x:f>ROUND(IF($C$4="低位",E78,IF($C$4="高位",E158,E118)),0)</x:f>
        <x:v>1387115</x:v>
      </x:c>
      <x:c r="F35" s="277" t="n">
        <x:f>ROUND(IF($C$4="低位",F78,IF($C$4="高位",F158,F118)),0)</x:f>
        <x:v>-498047</x:v>
      </x:c>
      <x:c r="G35" s="277" t="n">
        <x:f>ROUND(IF($C$4="低位",G78,IF($C$4="高位",G158,G118)),0)</x:f>
        <x:v>-5102785</x:v>
      </x:c>
      <x:c r="H35" s="277" t="n">
        <x:f>ROUND(IF($C$4="低位",H78,IF($C$4="高位",H158,H118)),0)</x:f>
        <x:v>5102785</x:v>
      </x:c>
      <x:c r="I35" s="277" t="n">
        <x:f>ROUND(IF($C$4="低位",I78,IF($C$4="高位",I158,I118)),0)</x:f>
        <x:v>27016406</x:v>
      </x:c>
      <x:c r="J35" s="277" t="n">
        <x:f>ROUND(IF($C$4="低位",J78,IF($C$4="高位",J158,J118)),0)</x:f>
        <x:v>31336839</x:v>
      </x:c>
      <x:c r="K35" s="277" t="n">
        <x:f>ROUND(IF($C$4="低位",K78,IF($C$4="高位",K158,K118)),0)</x:f>
        <x:v>3186317</x:v>
      </x:c>
      <x:c r="L35" s="409" t="str">
        <x:f>IF('診断'!$C$59&lt;&gt;"OK","",ROUND(IF($C$4="低位",X78,IF($C$4="高位",X158,X118)),0))</x:f>
      </x:c>
      <x:c r="M35" s="409" t="str">
        <x:f>IF('診断'!$C$59&lt;&gt;"OK","",ROUND(IF($C$4="低位",Y78,IF($C$4="高位",Y158,Y118)),0))</x:f>
      </x:c>
      <x:c r="N35" s="409" t="str">
        <x:f>IF('診断'!$C$59&lt;&gt;"OK","",ROUND(IF($C$4="低位",W78,IF($C$4="高位",W158,W118)),0))</x:f>
      </x:c>
      <x:c r="O35" s="409" t="str">
        <x:f>IF('診断'!$C$59&lt;&gt;"OK","",ROUND(IF($C$4="低位",Y78-G78,IF($C$4="高位",Y158-G158,Y118-G118)),0))</x:f>
      </x:c>
    </x:row>
    <x:row r="36" ht="20" customHeight="1">
      <x:c r="A36" s="276" t="n">
        <x:f>IF($C$4="低位",A79,IF($C$4="高位",A159,A119))</x:f>
        <x:v>12</x:v>
      </x:c>
      <x:c r="B36" s="277" t="n">
        <x:f>ROUND(IF($C$4="低位",B79,IF($C$4="高位",B159,B119)),0)</x:f>
        <x:v>1402497</x:v>
      </x:c>
      <x:c r="C36" s="277" t="n">
        <x:f>ROUND(IF($C$4="低位",C79,IF($C$4="高位",C159,C119)),0)</x:f>
        <x:v>520125</x:v>
      </x:c>
      <x:c r="D36" s="277" t="n">
        <x:f>ROUND(IF($C$4="低位",D79,IF($C$4="高位",D159,D119)),0)</x:f>
        <x:v>882373</x:v>
      </x:c>
      <x:c r="E36" s="277" t="n">
        <x:f>ROUND(IF($C$4="低位",E79,IF($C$4="高位",E159,E119)),0)</x:f>
        <x:v>1387115</x:v>
      </x:c>
      <x:c r="F36" s="277" t="n">
        <x:f>ROUND(IF($C$4="低位",F79,IF($C$4="高位",F159,F119)),0)</x:f>
        <x:v>-504742</x:v>
      </x:c>
      <x:c r="G36" s="277" t="n">
        <x:f>ROUND(IF($C$4="低位",G79,IF($C$4="高位",G159,G119)),0)</x:f>
        <x:v>-5607527</x:v>
      </x:c>
      <x:c r="H36" s="277" t="n">
        <x:f>ROUND(IF($C$4="低位",H79,IF($C$4="高位",H159,H119)),0)</x:f>
        <x:v>5607527</x:v>
      </x:c>
      <x:c r="I36" s="277" t="n">
        <x:f>ROUND(IF($C$4="低位",I79,IF($C$4="高位",I159,I119)),0)</x:f>
        <x:v>26108118</x:v>
      </x:c>
      <x:c r="J36" s="277" t="n">
        <x:f>ROUND(IF($C$4="低位",J79,IF($C$4="高位",J159,J119)),0)</x:f>
        <x:v>31023471</x:v>
      </x:c>
      <x:c r="K36" s="277" t="n">
        <x:f>ROUND(IF($C$4="低位",K79,IF($C$4="高位",K159,K119)),0)</x:f>
        <x:v>3791578</x:v>
      </x:c>
      <x:c r="L36" s="409" t="str">
        <x:f>IF('診断'!$C$59&lt;&gt;"OK","",ROUND(IF($C$4="低位",X79,IF($C$4="高位",X159,X119)),0))</x:f>
      </x:c>
      <x:c r="M36" s="409" t="str">
        <x:f>IF('診断'!$C$59&lt;&gt;"OK","",ROUND(IF($C$4="低位",Y79,IF($C$4="高位",Y159,Y119)),0))</x:f>
      </x:c>
      <x:c r="N36" s="409" t="str">
        <x:f>IF('診断'!$C$59&lt;&gt;"OK","",ROUND(IF($C$4="低位",W79,IF($C$4="高位",W159,W119)),0))</x:f>
      </x:c>
      <x:c r="O36" s="409" t="str">
        <x:f>IF('診断'!$C$59&lt;&gt;"OK","",ROUND(IF($C$4="低位",Y79-G79,IF($C$4="高位",Y159-G159,Y119-G119)),0))</x:f>
      </x:c>
    </x:row>
    <x:row r="37" ht="20" customHeight="1">
      <x:c r="A37" s="276" t="n">
        <x:f>IF($C$4="低位",A80,IF($C$4="高位",A160,A120))</x:f>
        <x:v>13</x:v>
      </x:c>
      <x:c r="B37" s="277" t="n">
        <x:f>ROUND(IF($C$4="低位",B80,IF($C$4="高位",B160,B120)),0)</x:f>
        <x:v>1395485</x:v>
      </x:c>
      <x:c r="C37" s="277" t="n">
        <x:f>ROUND(IF($C$4="低位",C80,IF($C$4="高位",C160,C120)),0)</x:f>
        <x:v>519774</x:v>
      </x:c>
      <x:c r="D37" s="277" t="n">
        <x:f>ROUND(IF($C$4="低位",D80,IF($C$4="高位",D160,D120)),0)</x:f>
        <x:v>875711</x:v>
      </x:c>
      <x:c r="E37" s="277" t="n">
        <x:f>ROUND(IF($C$4="低位",E80,IF($C$4="高位",E160,E120)),0)</x:f>
        <x:v>1387115</x:v>
      </x:c>
      <x:c r="F37" s="277" t="n">
        <x:f>ROUND(IF($C$4="低位",F80,IF($C$4="高位",F160,F120)),0)</x:f>
        <x:v>-511404</x:v>
      </x:c>
      <x:c r="G37" s="277" t="n">
        <x:f>ROUND(IF($C$4="低位",G80,IF($C$4="高位",G160,G120)),0)</x:f>
        <x:v>-6118931</x:v>
      </x:c>
      <x:c r="H37" s="277" t="n">
        <x:f>ROUND(IF($C$4="低位",H80,IF($C$4="高位",H160,H120)),0)</x:f>
        <x:v>6118931</x:v>
      </x:c>
      <x:c r="I37" s="277" t="n">
        <x:f>ROUND(IF($C$4="低位",I80,IF($C$4="高位",I160,I120)),0)</x:f>
        <x:v>25183345</x:v>
      </x:c>
      <x:c r="J37" s="277" t="n">
        <x:f>ROUND(IF($C$4="低位",J80,IF($C$4="高位",J160,J120)),0)</x:f>
        <x:v>30713236</x:v>
      </x:c>
      <x:c r="K37" s="277" t="n">
        <x:f>ROUND(IF($C$4="低位",K80,IF($C$4="高位",K160,K120)),0)</x:f>
        <x:v>4416354</x:v>
      </x:c>
      <x:c r="L37" s="409" t="str">
        <x:f>IF('診断'!$C$59&lt;&gt;"OK","",ROUND(IF($C$4="低位",X80,IF($C$4="高位",X160,X120)),0))</x:f>
      </x:c>
      <x:c r="M37" s="409" t="str">
        <x:f>IF('診断'!$C$59&lt;&gt;"OK","",ROUND(IF($C$4="低位",Y80,IF($C$4="高位",Y160,Y120)),0))</x:f>
      </x:c>
      <x:c r="N37" s="409" t="str">
        <x:f>IF('診断'!$C$59&lt;&gt;"OK","",ROUND(IF($C$4="低位",W80,IF($C$4="高位",W160,W120)),0))</x:f>
      </x:c>
      <x:c r="O37" s="409" t="str">
        <x:f>IF('診断'!$C$59&lt;&gt;"OK","",ROUND(IF($C$4="低位",Y80-G80,IF($C$4="高位",Y160-G160,Y120-G120)),0))</x:f>
      </x:c>
    </x:row>
    <x:row r="38" ht="20" customHeight="1">
      <x:c r="A38" s="276" t="n">
        <x:f>IF($C$4="低位",A81,IF($C$4="高位",A161,A121))</x:f>
        <x:v>14</x:v>
      </x:c>
      <x:c r="B38" s="277" t="n">
        <x:f>ROUND(IF($C$4="低位",B81,IF($C$4="高位",B161,B121)),0)</x:f>
        <x:v>1388508</x:v>
      </x:c>
      <x:c r="C38" s="277" t="n">
        <x:f>ROUND(IF($C$4="低位",C81,IF($C$4="高位",C161,C121)),0)</x:f>
        <x:v>519425</x:v>
      </x:c>
      <x:c r="D38" s="277" t="n">
        <x:f>ROUND(IF($C$4="低位",D81,IF($C$4="高位",D161,D121)),0)</x:f>
        <x:v>869082</x:v>
      </x:c>
      <x:c r="E38" s="277" t="n">
        <x:f>ROUND(IF($C$4="低位",E81,IF($C$4="高位",E161,E121)),0)</x:f>
        <x:v>1387115</x:v>
      </x:c>
      <x:c r="F38" s="277" t="n">
        <x:f>ROUND(IF($C$4="低位",F81,IF($C$4="高位",F161,F121)),0)</x:f>
        <x:v>-518033</x:v>
      </x:c>
      <x:c r="G38" s="277" t="n">
        <x:f>ROUND(IF($C$4="低位",G81,IF($C$4="高位",G161,G121)),0)</x:f>
        <x:v>-6636963</x:v>
      </x:c>
      <x:c r="H38" s="277" t="n">
        <x:f>ROUND(IF($C$4="低位",H81,IF($C$4="高位",H161,H121)),0)</x:f>
        <x:v>6636963</x:v>
      </x:c>
      <x:c r="I38" s="277" t="n">
        <x:f>ROUND(IF($C$4="低位",I81,IF($C$4="高位",I161,I121)),0)</x:f>
        <x:v>24241788</x:v>
      </x:c>
      <x:c r="J38" s="277" t="n">
        <x:f>ROUND(IF($C$4="低位",J81,IF($C$4="高位",J161,J121)),0)</x:f>
        <x:v>30406103</x:v>
      </x:c>
      <x:c r="K38" s="277" t="n">
        <x:f>ROUND(IF($C$4="低位",K81,IF($C$4="高位",K161,K121)),0)</x:f>
        <x:v>5060914</x:v>
      </x:c>
      <x:c r="L38" s="409" t="str">
        <x:f>IF('診断'!$C$59&lt;&gt;"OK","",ROUND(IF($C$4="低位",X81,IF($C$4="高位",X161,X121)),0))</x:f>
      </x:c>
      <x:c r="M38" s="409" t="str">
        <x:f>IF('診断'!$C$59&lt;&gt;"OK","",ROUND(IF($C$4="低位",Y81,IF($C$4="高位",Y161,Y121)),0))</x:f>
      </x:c>
      <x:c r="N38" s="409" t="str">
        <x:f>IF('診断'!$C$59&lt;&gt;"OK","",ROUND(IF($C$4="低位",W81,IF($C$4="高位",W161,W121)),0))</x:f>
      </x:c>
      <x:c r="O38" s="409" t="str">
        <x:f>IF('診断'!$C$59&lt;&gt;"OK","",ROUND(IF($C$4="低位",Y81-G81,IF($C$4="高位",Y161-G161,Y121-G121)),0))</x:f>
      </x:c>
    </x:row>
    <x:row r="39" ht="20" customHeight="1">
      <x:c r="A39" s="276" t="n">
        <x:f>IF($C$4="低位",A82,IF($C$4="高位",A162,A122))</x:f>
        <x:v>15</x:v>
      </x:c>
      <x:c r="B39" s="277" t="n">
        <x:f>ROUND(IF($C$4="低位",B82,IF($C$4="高位",B162,B122)),0)</x:f>
        <x:v>1381565</x:v>
      </x:c>
      <x:c r="C39" s="277" t="n">
        <x:f>ROUND(IF($C$4="低位",C82,IF($C$4="高位",C162,C122)),0)</x:f>
        <x:v>519078</x:v>
      </x:c>
      <x:c r="D39" s="277" t="n">
        <x:f>ROUND(IF($C$4="低位",D82,IF($C$4="高位",D162,D122)),0)</x:f>
        <x:v>862487</x:v>
      </x:c>
      <x:c r="E39" s="277" t="n">
        <x:f>ROUND(IF($C$4="低位",E82,IF($C$4="高位",E162,E122)),0)</x:f>
        <x:v>1387115</x:v>
      </x:c>
      <x:c r="F39" s="277" t="n">
        <x:f>ROUND(IF($C$4="低位",F82,IF($C$4="高位",F162,F122)),0)</x:f>
        <x:v>-524628</x:v>
      </x:c>
      <x:c r="G39" s="277" t="n">
        <x:f>ROUND(IF($C$4="低位",G82,IF($C$4="高位",G162,G122)),0)</x:f>
        <x:v>-7161591</x:v>
      </x:c>
      <x:c r="H39" s="277" t="n">
        <x:f>ROUND(IF($C$4="低位",H82,IF($C$4="高位",H162,H122)),0)</x:f>
        <x:v>7161591</x:v>
      </x:c>
      <x:c r="I39" s="277" t="n">
        <x:f>ROUND(IF($C$4="低位",I82,IF($C$4="高位",I162,I122)),0)</x:f>
        <x:v>23283142</x:v>
      </x:c>
      <x:c r="J39" s="277" t="n">
        <x:f>ROUND(IF($C$4="低位",J82,IF($C$4="高位",J162,J122)),0)</x:f>
        <x:v>30102042</x:v>
      </x:c>
      <x:c r="K39" s="277" t="n">
        <x:f>ROUND(IF($C$4="低位",K82,IF($C$4="高位",K162,K122)),0)</x:f>
        <x:v>5725533</x:v>
      </x:c>
      <x:c r="L39" s="409" t="str">
        <x:f>IF('診断'!$C$59&lt;&gt;"OK","",ROUND(IF($C$4="低位",X82,IF($C$4="高位",X162,X122)),0))</x:f>
      </x:c>
      <x:c r="M39" s="409" t="str">
        <x:f>IF('診断'!$C$59&lt;&gt;"OK","",ROUND(IF($C$4="低位",Y82,IF($C$4="高位",Y162,Y122)),0))</x:f>
      </x:c>
      <x:c r="N39" s="409" t="str">
        <x:f>IF('診断'!$C$59&lt;&gt;"OK","",ROUND(IF($C$4="低位",W82,IF($C$4="高位",W162,W122)),0))</x:f>
      </x:c>
      <x:c r="O39" s="409" t="str">
        <x:f>IF('診断'!$C$59&lt;&gt;"OK","",ROUND(IF($C$4="低位",Y82-G82,IF($C$4="高位",Y162-G162,Y122-G122)),0))</x:f>
      </x:c>
    </x:row>
    <x:row r="40" ht="20" customHeight="1">
      <x:c r="A40" s="276" t="n">
        <x:f>IF($C$4="低位",A83,IF($C$4="高位",A163,A123))</x:f>
        <x:v>16</x:v>
      </x:c>
      <x:c r="B40" s="277" t="n">
        <x:f>ROUND(IF($C$4="低位",B83,IF($C$4="高位",B163,B123)),0)</x:f>
        <x:v>1374657</x:v>
      </x:c>
      <x:c r="C40" s="277" t="n">
        <x:f>ROUND(IF($C$4="低位",C83,IF($C$4="高位",C163,C123)),0)</x:f>
        <x:v>518733</x:v>
      </x:c>
      <x:c r="D40" s="277" t="n">
        <x:f>ROUND(IF($C$4="低位",D83,IF($C$4="高位",D163,D123)),0)</x:f>
        <x:v>855924</x:v>
      </x:c>
      <x:c r="E40" s="277" t="n">
        <x:f>ROUND(IF($C$4="低位",E83,IF($C$4="高位",E163,E123)),0)</x:f>
        <x:v>1387115</x:v>
      </x:c>
      <x:c r="F40" s="277" t="n">
        <x:f>ROUND(IF($C$4="低位",F83,IF($C$4="高位",F163,F123)),0)</x:f>
        <x:v>-531190</x:v>
      </x:c>
      <x:c r="G40" s="277" t="n">
        <x:f>ROUND(IF($C$4="低位",G83,IF($C$4="高位",G163,G123)),0)</x:f>
        <x:v>-7692782</x:v>
      </x:c>
      <x:c r="H40" s="277" t="n">
        <x:f>ROUND(IF($C$4="低位",H83,IF($C$4="高位",H163,H123)),0)</x:f>
        <x:v>7692782</x:v>
      </x:c>
      <x:c r="I40" s="277" t="n">
        <x:f>ROUND(IF($C$4="低位",I83,IF($C$4="高位",I163,I123)),0)</x:f>
        <x:v>22307098</x:v>
      </x:c>
      <x:c r="J40" s="277" t="n">
        <x:f>ROUND(IF($C$4="低位",J83,IF($C$4="高位",J163,J123)),0)</x:f>
        <x:v>29801022</x:v>
      </x:c>
      <x:c r="K40" s="277" t="n">
        <x:f>ROUND(IF($C$4="低位",K83,IF($C$4="高位",K163,K123)),0)</x:f>
        <x:v>6410491</x:v>
      </x:c>
      <x:c r="L40" s="409" t="str">
        <x:f>IF('診断'!$C$59&lt;&gt;"OK","",ROUND(IF($C$4="低位",X83,IF($C$4="高位",X163,X123)),0))</x:f>
      </x:c>
      <x:c r="M40" s="409" t="str">
        <x:f>IF('診断'!$C$59&lt;&gt;"OK","",ROUND(IF($C$4="低位",Y83,IF($C$4="高位",Y163,Y123)),0))</x:f>
      </x:c>
      <x:c r="N40" s="409" t="str">
        <x:f>IF('診断'!$C$59&lt;&gt;"OK","",ROUND(IF($C$4="低位",W83,IF($C$4="高位",W163,W123)),0))</x:f>
      </x:c>
      <x:c r="O40" s="409" t="str">
        <x:f>IF('診断'!$C$59&lt;&gt;"OK","",ROUND(IF($C$4="低位",Y83-G83,IF($C$4="高位",Y163-G163,Y123-G123)),0))</x:f>
      </x:c>
    </x:row>
    <x:row r="41" ht="20" customHeight="1">
      <x:c r="A41" s="276" t="n">
        <x:f>IF($C$4="低位",A84,IF($C$4="高位",A164,A124))</x:f>
        <x:v>17</x:v>
      </x:c>
      <x:c r="B41" s="277" t="n">
        <x:f>ROUND(IF($C$4="低位",B84,IF($C$4="高位",B164,B124)),0)</x:f>
        <x:v>1367784</x:v>
      </x:c>
      <x:c r="C41" s="277" t="n">
        <x:f>ROUND(IF($C$4="低位",C84,IF($C$4="高位",C164,C124)),0)</x:f>
        <x:v>518389</x:v>
      </x:c>
      <x:c r="D41" s="277" t="n">
        <x:f>ROUND(IF($C$4="低位",D84,IF($C$4="高位",D164,D124)),0)</x:f>
        <x:v>849395</x:v>
      </x:c>
      <x:c r="E41" s="277" t="n">
        <x:f>ROUND(IF($C$4="低位",E84,IF($C$4="高位",E164,E124)),0)</x:f>
        <x:v>1387115</x:v>
      </x:c>
      <x:c r="F41" s="277" t="n">
        <x:f>ROUND(IF($C$4="低位",F84,IF($C$4="高位",F164,F124)),0)</x:f>
        <x:v>-537720</x:v>
      </x:c>
      <x:c r="G41" s="277" t="n">
        <x:f>ROUND(IF($C$4="低位",G84,IF($C$4="高位",G164,G124)),0)</x:f>
        <x:v>-8230502</x:v>
      </x:c>
      <x:c r="H41" s="277" t="n">
        <x:f>ROUND(IF($C$4="低位",H84,IF($C$4="高位",H164,H124)),0)</x:f>
        <x:v>8230502</x:v>
      </x:c>
      <x:c r="I41" s="277" t="n">
        <x:f>ROUND(IF($C$4="低位",I84,IF($C$4="高位",I164,I124)),0)</x:f>
        <x:v>21313339</x:v>
      </x:c>
      <x:c r="J41" s="277" t="n">
        <x:f>ROUND(IF($C$4="低位",J84,IF($C$4="高位",J164,J124)),0)</x:f>
        <x:v>29503012</x:v>
      </x:c>
      <x:c r="K41" s="277" t="n">
        <x:f>ROUND(IF($C$4="低位",K84,IF($C$4="高位",K164,K124)),0)</x:f>
        <x:v>7116074</x:v>
      </x:c>
      <x:c r="L41" s="409" t="str">
        <x:f>IF('診断'!$C$59&lt;&gt;"OK","",ROUND(IF($C$4="低位",X84,IF($C$4="高位",X164,X124)),0))</x:f>
      </x:c>
      <x:c r="M41" s="409" t="str">
        <x:f>IF('診断'!$C$59&lt;&gt;"OK","",ROUND(IF($C$4="低位",Y84,IF($C$4="高位",Y164,Y124)),0))</x:f>
      </x:c>
      <x:c r="N41" s="409" t="str">
        <x:f>IF('診断'!$C$59&lt;&gt;"OK","",ROUND(IF($C$4="低位",W84,IF($C$4="高位",W164,W124)),0))</x:f>
      </x:c>
      <x:c r="O41" s="409" t="str">
        <x:f>IF('診断'!$C$59&lt;&gt;"OK","",ROUND(IF($C$4="低位",Y84-G84,IF($C$4="高位",Y164-G164,Y124-G124)),0))</x:f>
      </x:c>
    </x:row>
    <x:row r="42" ht="20" customHeight="1">
      <x:c r="A42" s="276" t="n">
        <x:f>IF($C$4="低位",A85,IF($C$4="高位",A165,A125))</x:f>
        <x:v>18</x:v>
      </x:c>
      <x:c r="B42" s="277" t="n">
        <x:f>ROUND(IF($C$4="低位",B85,IF($C$4="高位",B165,B125)),0)</x:f>
        <x:v>1360945</x:v>
      </x:c>
      <x:c r="C42" s="277" t="n">
        <x:f>ROUND(IF($C$4="低位",C85,IF($C$4="高位",C165,C125)),0)</x:f>
        <x:v>518047</x:v>
      </x:c>
      <x:c r="D42" s="277" t="n">
        <x:f>ROUND(IF($C$4="低位",D85,IF($C$4="高位",D165,D125)),0)</x:f>
        <x:v>842898</x:v>
      </x:c>
      <x:c r="E42" s="277" t="n">
        <x:f>ROUND(IF($C$4="低位",E85,IF($C$4="高位",E165,E125)),0)</x:f>
        <x:v>1387115</x:v>
      </x:c>
      <x:c r="F42" s="277" t="n">
        <x:f>ROUND(IF($C$4="低位",F85,IF($C$4="高位",F165,F125)),0)</x:f>
        <x:v>-544217</x:v>
      </x:c>
      <x:c r="G42" s="277" t="n">
        <x:f>ROUND(IF($C$4="低位",G85,IF($C$4="高位",G165,G125)),0)</x:f>
        <x:v>-8774719</x:v>
      </x:c>
      <x:c r="H42" s="277" t="n">
        <x:f>ROUND(IF($C$4="低位",H85,IF($C$4="高位",H165,H125)),0)</x:f>
        <x:v>8774719</x:v>
      </x:c>
      <x:c r="I42" s="277" t="n">
        <x:f>ROUND(IF($C$4="低位",I85,IF($C$4="高位",I165,I125)),0)</x:f>
        <x:v>20301544</x:v>
      </x:c>
      <x:c r="J42" s="277" t="n">
        <x:f>ROUND(IF($C$4="低位",J85,IF($C$4="高位",J165,J125)),0)</x:f>
        <x:v>29207982</x:v>
      </x:c>
      <x:c r="K42" s="277" t="n">
        <x:f>ROUND(IF($C$4="低位",K85,IF($C$4="高位",K165,K125)),0)</x:f>
        <x:v>7842574</x:v>
      </x:c>
      <x:c r="L42" s="409" t="str">
        <x:f>IF('診断'!$C$59&lt;&gt;"OK","",ROUND(IF($C$4="低位",X85,IF($C$4="高位",X165,X125)),0))</x:f>
      </x:c>
      <x:c r="M42" s="409" t="str">
        <x:f>IF('診断'!$C$59&lt;&gt;"OK","",ROUND(IF($C$4="低位",Y85,IF($C$4="高位",Y165,Y125)),0))</x:f>
      </x:c>
      <x:c r="N42" s="409" t="str">
        <x:f>IF('診断'!$C$59&lt;&gt;"OK","",ROUND(IF($C$4="低位",W85,IF($C$4="高位",W165,W125)),0))</x:f>
      </x:c>
      <x:c r="O42" s="409" t="str">
        <x:f>IF('診断'!$C$59&lt;&gt;"OK","",ROUND(IF($C$4="低位",Y85-G85,IF($C$4="高位",Y165-G165,Y125-G125)),0))</x:f>
      </x:c>
    </x:row>
    <x:row r="43" ht="20" customHeight="1">
      <x:c r="A43" s="276" t="n">
        <x:f>IF($C$4="低位",A86,IF($C$4="高位",A166,A126))</x:f>
        <x:v>19</x:v>
      </x:c>
      <x:c r="B43" s="277" t="n">
        <x:f>ROUND(IF($C$4="低位",B86,IF($C$4="高位",B166,B126)),0)</x:f>
        <x:v>1354140</x:v>
      </x:c>
      <x:c r="C43" s="277" t="n">
        <x:f>ROUND(IF($C$4="低位",C86,IF($C$4="高位",C166,C126)),0)</x:f>
        <x:v>517707</x:v>
      </x:c>
      <x:c r="D43" s="277" t="n">
        <x:f>ROUND(IF($C$4="低位",D86,IF($C$4="高位",D166,D126)),0)</x:f>
        <x:v>836433</x:v>
      </x:c>
      <x:c r="E43" s="277" t="n">
        <x:f>ROUND(IF($C$4="低位",E86,IF($C$4="高位",E166,E126)),0)</x:f>
        <x:v>1387115</x:v>
      </x:c>
      <x:c r="F43" s="277" t="n">
        <x:f>ROUND(IF($C$4="低位",F86,IF($C$4="高位",F166,F126)),0)</x:f>
        <x:v>-550681</x:v>
      </x:c>
      <x:c r="G43" s="277" t="n">
        <x:f>ROUND(IF($C$4="低位",G86,IF($C$4="高位",G166,G126)),0)</x:f>
        <x:v>-9325400</x:v>
      </x:c>
      <x:c r="H43" s="277" t="n">
        <x:f>ROUND(IF($C$4="低位",H86,IF($C$4="高位",H166,H126)),0)</x:f>
        <x:v>9325400</x:v>
      </x:c>
      <x:c r="I43" s="277" t="n">
        <x:f>ROUND(IF($C$4="低位",I86,IF($C$4="高位",I166,I126)),0)</x:f>
        <x:v>19271386</x:v>
      </x:c>
      <x:c r="J43" s="277" t="n">
        <x:f>ROUND(IF($C$4="低位",J86,IF($C$4="高位",J166,J126)),0)</x:f>
        <x:v>28915902</x:v>
      </x:c>
      <x:c r="K43" s="277" t="n">
        <x:f>ROUND(IF($C$4="低位",K86,IF($C$4="高位",K166,K126)),0)</x:f>
        <x:v>8590291</x:v>
      </x:c>
      <x:c r="L43" s="409" t="str">
        <x:f>IF('診断'!$C$59&lt;&gt;"OK","",ROUND(IF($C$4="低位",X86,IF($C$4="高位",X166,X126)),0))</x:f>
      </x:c>
      <x:c r="M43" s="409" t="str">
        <x:f>IF('診断'!$C$59&lt;&gt;"OK","",ROUND(IF($C$4="低位",Y86,IF($C$4="高位",Y166,Y126)),0))</x:f>
      </x:c>
      <x:c r="N43" s="409" t="str">
        <x:f>IF('診断'!$C$59&lt;&gt;"OK","",ROUND(IF($C$4="低位",W86,IF($C$4="高位",W166,W126)),0))</x:f>
      </x:c>
      <x:c r="O43" s="409" t="str">
        <x:f>IF('診断'!$C$59&lt;&gt;"OK","",ROUND(IF($C$4="低位",Y86-G86,IF($C$4="高位",Y166-G166,Y126-G126)),0))</x:f>
      </x:c>
    </x:row>
    <x:row r="44" ht="20" customHeight="1">
      <x:c r="A44" s="276" t="n">
        <x:f>IF($C$4="低位",A87,IF($C$4="高位",A167,A127))</x:f>
        <x:v>20</x:v>
      </x:c>
      <x:c r="B44" s="277" t="n">
        <x:f>ROUND(IF($C$4="低位",B87,IF($C$4="高位",B167,B127)),0)</x:f>
        <x:v>1347370</x:v>
      </x:c>
      <x:c r="C44" s="277" t="n">
        <x:f>ROUND(IF($C$4="低位",C87,IF($C$4="高位",C167,C127)),0)</x:f>
        <x:v>517368</x:v>
      </x:c>
      <x:c r="D44" s="277" t="n">
        <x:f>ROUND(IF($C$4="低位",D87,IF($C$4="高位",D167,D127)),0)</x:f>
        <x:v>830001</x:v>
      </x:c>
      <x:c r="E44" s="277" t="n">
        <x:f>ROUND(IF($C$4="低位",E87,IF($C$4="高位",E167,E127)),0)</x:f>
        <x:v>1387115</x:v>
      </x:c>
      <x:c r="F44" s="277" t="n">
        <x:f>ROUND(IF($C$4="低位",F87,IF($C$4="高位",F167,F127)),0)</x:f>
        <x:v>-557114</x:v>
      </x:c>
      <x:c r="G44" s="277" t="n">
        <x:f>ROUND(IF($C$4="低位",G87,IF($C$4="高位",G167,G127)),0)</x:f>
        <x:v>-9882514</x:v>
      </x:c>
      <x:c r="H44" s="277" t="n">
        <x:f>ROUND(IF($C$4="低位",H87,IF($C$4="高位",H167,H127)),0)</x:f>
        <x:v>9882514</x:v>
      </x:c>
      <x:c r="I44" s="277" t="n">
        <x:f>ROUND(IF($C$4="低位",I87,IF($C$4="高位",I167,I127)),0)</x:f>
        <x:v>18222531</x:v>
      </x:c>
      <x:c r="J44" s="277" t="n">
        <x:f>ROUND(IF($C$4="低位",J87,IF($C$4="高位",J167,J127)),0)</x:f>
        <x:v>28626743</x:v>
      </x:c>
      <x:c r="K44" s="277" t="n">
        <x:f>ROUND(IF($C$4="低位",K87,IF($C$4="高位",K167,K127)),0)</x:f>
        <x:v>9359529</x:v>
      </x:c>
      <x:c r="L44" s="409" t="str">
        <x:f>IF('診断'!$C$59&lt;&gt;"OK","",ROUND(IF($C$4="低位",X87,IF($C$4="高位",X167,X127)),0))</x:f>
      </x:c>
      <x:c r="M44" s="409" t="str">
        <x:f>IF('診断'!$C$59&lt;&gt;"OK","",ROUND(IF($C$4="低位",Y87,IF($C$4="高位",Y167,Y127)),0))</x:f>
      </x:c>
      <x:c r="N44" s="409" t="str">
        <x:f>IF('診断'!$C$59&lt;&gt;"OK","",ROUND(IF($C$4="低位",W87,IF($C$4="高位",W167,W127)),0))</x:f>
      </x:c>
      <x:c r="O44" s="409" t="str">
        <x:f>IF('診断'!$C$59&lt;&gt;"OK","",ROUND(IF($C$4="低位",Y87-G87,IF($C$4="高位",Y167-G167,Y127-G127)),0))</x:f>
      </x:c>
    </x:row>
    <x:row r="45" ht="20" customHeight="1">
      <x:c r="A45" s="276" t="n">
        <x:f>IF($C$4="低位",A88,IF($C$4="高位",A168,A128))</x:f>
        <x:v>21</x:v>
      </x:c>
      <x:c r="B45" s="277" t="n">
        <x:f>ROUND(IF($C$4="低位",B88,IF($C$4="高位",B168,B128)),0)</x:f>
        <x:v>1340633</x:v>
      </x:c>
      <x:c r="C45" s="277" t="n">
        <x:f>ROUND(IF($C$4="低位",C88,IF($C$4="高位",C168,C128)),0)</x:f>
        <x:v>517032</x:v>
      </x:c>
      <x:c r="D45" s="277" t="n">
        <x:f>ROUND(IF($C$4="低位",D88,IF($C$4="高位",D168,D128)),0)</x:f>
        <x:v>823601</x:v>
      </x:c>
      <x:c r="E45" s="277" t="n">
        <x:f>ROUND(IF($C$4="低位",E88,IF($C$4="高位",E168,E128)),0)</x:f>
        <x:v>1387115</x:v>
      </x:c>
      <x:c r="F45" s="277" t="n">
        <x:f>ROUND(IF($C$4="低位",F88,IF($C$4="高位",F168,F128)),0)</x:f>
        <x:v>-563514</x:v>
      </x:c>
      <x:c r="G45" s="277" t="n">
        <x:f>ROUND(IF($C$4="低位",G88,IF($C$4="高位",G168,G128)),0)</x:f>
        <x:v>-10446027</x:v>
      </x:c>
      <x:c r="H45" s="277" t="n">
        <x:f>ROUND(IF($C$4="低位",H88,IF($C$4="高位",H168,H128)),0)</x:f>
        <x:v>10446027</x:v>
      </x:c>
      <x:c r="I45" s="277" t="n">
        <x:f>ROUND(IF($C$4="低位",I88,IF($C$4="高位",I168,I128)),0)</x:f>
        <x:v>17154640</x:v>
      </x:c>
      <x:c r="J45" s="277" t="n">
        <x:f>ROUND(IF($C$4="低位",J88,IF($C$4="高位",J168,J128)),0)</x:f>
        <x:v>28340475</x:v>
      </x:c>
      <x:c r="K45" s="277" t="n">
        <x:f>ROUND(IF($C$4="低位",K88,IF($C$4="高位",K168,K128)),0)</x:f>
        <x:v>10150599</x:v>
      </x:c>
      <x:c r="L45" s="409" t="str">
        <x:f>IF('診断'!$C$59&lt;&gt;"OK","",ROUND(IF($C$4="低位",X88,IF($C$4="高位",X168,X128)),0))</x:f>
      </x:c>
      <x:c r="M45" s="409" t="str">
        <x:f>IF('診断'!$C$59&lt;&gt;"OK","",ROUND(IF($C$4="低位",Y88,IF($C$4="高位",Y168,Y128)),0))</x:f>
      </x:c>
      <x:c r="N45" s="409" t="str">
        <x:f>IF('診断'!$C$59&lt;&gt;"OK","",ROUND(IF($C$4="低位",W88,IF($C$4="高位",W168,W128)),0))</x:f>
      </x:c>
      <x:c r="O45" s="409" t="str">
        <x:f>IF('診断'!$C$59&lt;&gt;"OK","",ROUND(IF($C$4="低位",Y88-G88,IF($C$4="高位",Y168-G168,Y128-G128)),0))</x:f>
      </x:c>
    </x:row>
    <x:row r="46" ht="20" customHeight="1">
      <x:c r="A46" s="276" t="n">
        <x:f>IF($C$4="低位",A89,IF($C$4="高位",A169,A129))</x:f>
        <x:v>22</x:v>
      </x:c>
      <x:c r="B46" s="277" t="n">
        <x:f>ROUND(IF($C$4="低位",B89,IF($C$4="高位",B169,B129)),0)</x:f>
        <x:v>1333930</x:v>
      </x:c>
      <x:c r="C46" s="277" t="n">
        <x:f>ROUND(IF($C$4="低位",C89,IF($C$4="高位",C169,C129)),0)</x:f>
        <x:v>516696</x:v>
      </x:c>
      <x:c r="D46" s="277" t="n">
        <x:f>ROUND(IF($C$4="低位",D89,IF($C$4="高位",D169,D129)),0)</x:f>
        <x:v>817233</x:v>
      </x:c>
      <x:c r="E46" s="277" t="n">
        <x:f>ROUND(IF($C$4="低位",E89,IF($C$4="高位",E169,E129)),0)</x:f>
        <x:v>1387115</x:v>
      </x:c>
      <x:c r="F46" s="277" t="n">
        <x:f>ROUND(IF($C$4="低位",F89,IF($C$4="高位",F169,F129)),0)</x:f>
        <x:v>-569882</x:v>
      </x:c>
      <x:c r="G46" s="277" t="n">
        <x:f>ROUND(IF($C$4="低位",G89,IF($C$4="高位",G169,G129)),0)</x:f>
        <x:v>-11015909</x:v>
      </x:c>
      <x:c r="H46" s="277" t="n">
        <x:f>ROUND(IF($C$4="低位",H89,IF($C$4="高位",H169,H129)),0)</x:f>
        <x:v>11015909</x:v>
      </x:c>
      <x:c r="I46" s="277" t="n">
        <x:f>ROUND(IF($C$4="低位",I89,IF($C$4="高位",I169,I129)),0)</x:f>
        <x:v>16067368</x:v>
      </x:c>
      <x:c r="J46" s="277" t="n">
        <x:f>ROUND(IF($C$4="低位",J89,IF($C$4="高位",J169,J129)),0)</x:f>
        <x:v>28057071</x:v>
      </x:c>
      <x:c r="K46" s="277" t="n">
        <x:f>ROUND(IF($C$4="低位",K89,IF($C$4="高位",K169,K129)),0)</x:f>
        <x:v>10963819</x:v>
      </x:c>
      <x:c r="L46" s="409" t="str">
        <x:f>IF('診断'!$C$59&lt;&gt;"OK","",ROUND(IF($C$4="低位",X89,IF($C$4="高位",X169,X129)),0))</x:f>
      </x:c>
      <x:c r="M46" s="409" t="str">
        <x:f>IF('診断'!$C$59&lt;&gt;"OK","",ROUND(IF($C$4="低位",Y89,IF($C$4="高位",Y169,Y129)),0))</x:f>
      </x:c>
      <x:c r="N46" s="409" t="str">
        <x:f>IF('診断'!$C$59&lt;&gt;"OK","",ROUND(IF($C$4="低位",W89,IF($C$4="高位",W169,W129)),0))</x:f>
      </x:c>
      <x:c r="O46" s="409" t="str">
        <x:f>IF('診断'!$C$59&lt;&gt;"OK","",ROUND(IF($C$4="低位",Y89-G89,IF($C$4="高位",Y169-G169,Y129-G129)),0))</x:f>
      </x:c>
    </x:row>
    <x:row r="47" ht="20" customHeight="1">
      <x:c r="A47" s="276" t="n">
        <x:f>IF($C$4="低位",A90,IF($C$4="高位",A170,A130))</x:f>
        <x:v>23</x:v>
      </x:c>
      <x:c r="B47" s="277" t="n">
        <x:f>ROUND(IF($C$4="低位",B90,IF($C$4="高位",B170,B130)),0)</x:f>
        <x:v>1327260</x:v>
      </x:c>
      <x:c r="C47" s="277" t="n">
        <x:f>ROUND(IF($C$4="低位",C90,IF($C$4="高位",C170,C130)),0)</x:f>
        <x:v>516363</x:v>
      </x:c>
      <x:c r="D47" s="277" t="n">
        <x:f>ROUND(IF($C$4="低位",D90,IF($C$4="高位",D170,D130)),0)</x:f>
        <x:v>810897</x:v>
      </x:c>
      <x:c r="E47" s="277" t="n">
        <x:f>ROUND(IF($C$4="低位",E90,IF($C$4="高位",E170,E130)),0)</x:f>
        <x:v>1387115</x:v>
      </x:c>
      <x:c r="F47" s="277" t="n">
        <x:f>ROUND(IF($C$4="低位",F90,IF($C$4="高位",F170,F130)),0)</x:f>
        <x:v>-576218</x:v>
      </x:c>
      <x:c r="G47" s="277" t="n">
        <x:f>ROUND(IF($C$4="低位",G90,IF($C$4="高位",G170,G130)),0)</x:f>
        <x:v>-11592127</x:v>
      </x:c>
      <x:c r="H47" s="277" t="n">
        <x:f>ROUND(IF($C$4="低位",H90,IF($C$4="高位",H170,H130)),0)</x:f>
        <x:v>11592127</x:v>
      </x:c>
      <x:c r="I47" s="277" t="n">
        <x:f>ROUND(IF($C$4="低位",I90,IF($C$4="高位",I170,I130)),0)</x:f>
        <x:v>14960363</x:v>
      </x:c>
      <x:c r="J47" s="277" t="n">
        <x:f>ROUND(IF($C$4="低位",J90,IF($C$4="高位",J170,J130)),0)</x:f>
        <x:v>27776500</x:v>
      </x:c>
      <x:c r="K47" s="277" t="n">
        <x:f>ROUND(IF($C$4="低位",K90,IF($C$4="高位",K170,K130)),0)</x:f>
        <x:v>11799512</x:v>
      </x:c>
      <x:c r="L47" s="409" t="str">
        <x:f>IF('診断'!$C$59&lt;&gt;"OK","",ROUND(IF($C$4="低位",X90,IF($C$4="高位",X170,X130)),0))</x:f>
      </x:c>
      <x:c r="M47" s="409" t="str">
        <x:f>IF('診断'!$C$59&lt;&gt;"OK","",ROUND(IF($C$4="低位",Y90,IF($C$4="高位",Y170,Y130)),0))</x:f>
      </x:c>
      <x:c r="N47" s="409" t="str">
        <x:f>IF('診断'!$C$59&lt;&gt;"OK","",ROUND(IF($C$4="低位",W90,IF($C$4="高位",W170,W130)),0))</x:f>
      </x:c>
      <x:c r="O47" s="409" t="str">
        <x:f>IF('診断'!$C$59&lt;&gt;"OK","",ROUND(IF($C$4="低位",Y90-G90,IF($C$4="高位",Y170-G170,Y130-G130)),0))</x:f>
      </x:c>
    </x:row>
    <x:row r="48" ht="20" customHeight="1">
      <x:c r="A48" s="276" t="n">
        <x:f>IF($C$4="低位",A91,IF($C$4="高位",A171,A131))</x:f>
        <x:v>24</x:v>
      </x:c>
      <x:c r="B48" s="277" t="n">
        <x:f>ROUND(IF($C$4="低位",B91,IF($C$4="高位",B171,B131)),0)</x:f>
        <x:v>1320624</x:v>
      </x:c>
      <x:c r="C48" s="277" t="n">
        <x:f>ROUND(IF($C$4="低位",C91,IF($C$4="高位",C171,C131)),0)</x:f>
        <x:v>516031</x:v>
      </x:c>
      <x:c r="D48" s="277" t="n">
        <x:f>ROUND(IF($C$4="低位",D91,IF($C$4="高位",D171,D131)),0)</x:f>
        <x:v>804592</x:v>
      </x:c>
      <x:c r="E48" s="277" t="n">
        <x:f>ROUND(IF($C$4="低位",E91,IF($C$4="高位",E171,E131)),0)</x:f>
        <x:v>1387115</x:v>
      </x:c>
      <x:c r="F48" s="277" t="n">
        <x:f>ROUND(IF($C$4="低位",F91,IF($C$4="高位",F171,F131)),0)</x:f>
        <x:v>-582522</x:v>
      </x:c>
      <x:c r="G48" s="277" t="n">
        <x:f>ROUND(IF($C$4="低位",G91,IF($C$4="高位",G171,G131)),0)</x:f>
        <x:v>-12174649</x:v>
      </x:c>
      <x:c r="H48" s="277" t="n">
        <x:f>ROUND(IF($C$4="低位",H91,IF($C$4="高位",H171,H131)),0)</x:f>
        <x:v>12174649</x:v>
      </x:c>
      <x:c r="I48" s="277" t="n">
        <x:f>ROUND(IF($C$4="低位",I91,IF($C$4="高位",I171,I131)),0)</x:f>
        <x:v>13833266</x:v>
      </x:c>
      <x:c r="J48" s="277" t="n">
        <x:f>ROUND(IF($C$4="低位",J91,IF($C$4="高位",J171,J131)),0)</x:f>
        <x:v>27498735</x:v>
      </x:c>
      <x:c r="K48" s="277" t="n">
        <x:f>ROUND(IF($C$4="低位",K91,IF($C$4="高位",K171,K131)),0)</x:f>
        <x:v>12658010</x:v>
      </x:c>
      <x:c r="L48" s="409" t="str">
        <x:f>IF('診断'!$C$59&lt;&gt;"OK","",ROUND(IF($C$4="低位",X91,IF($C$4="高位",X171,X131)),0))</x:f>
      </x:c>
      <x:c r="M48" s="409" t="str">
        <x:f>IF('診断'!$C$59&lt;&gt;"OK","",ROUND(IF($C$4="低位",Y91,IF($C$4="高位",Y171,Y131)),0))</x:f>
      </x:c>
      <x:c r="N48" s="409" t="str">
        <x:f>IF('診断'!$C$59&lt;&gt;"OK","",ROUND(IF($C$4="低位",W91,IF($C$4="高位",W171,W131)),0))</x:f>
      </x:c>
      <x:c r="O48" s="409" t="str">
        <x:f>IF('診断'!$C$59&lt;&gt;"OK","",ROUND(IF($C$4="低位",Y91-G91,IF($C$4="高位",Y171-G171,Y131-G131)),0))</x:f>
      </x:c>
    </x:row>
    <x:row r="49" ht="20" customHeight="1">
      <x:c r="A49" s="276" t="n">
        <x:f>IF($C$4="低位",A92,IF($C$4="高位",A172,A132))</x:f>
        <x:v>25</x:v>
      </x:c>
      <x:c r="B49" s="277" t="n">
        <x:f>ROUND(IF($C$4="低位",B92,IF($C$4="高位",B172,B132)),0)</x:f>
        <x:v>1314021</x:v>
      </x:c>
      <x:c r="C49" s="277" t="n">
        <x:f>ROUND(IF($C$4="低位",C92,IF($C$4="高位",C172,C132)),0)</x:f>
        <x:v>515701</x:v>
      </x:c>
      <x:c r="D49" s="277" t="n">
        <x:f>ROUND(IF($C$4="低位",D92,IF($C$4="高位",D172,D132)),0)</x:f>
        <x:v>798319</x:v>
      </x:c>
      <x:c r="E49" s="277" t="n">
        <x:f>ROUND(IF($C$4="低位",E92,IF($C$4="高位",E172,E132)),0)</x:f>
        <x:v>1387115</x:v>
      </x:c>
      <x:c r="F49" s="277" t="n">
        <x:f>ROUND(IF($C$4="低位",F92,IF($C$4="高位",F172,F132)),0)</x:f>
        <x:v>-588795</x:v>
      </x:c>
      <x:c r="G49" s="277" t="n">
        <x:f>ROUND(IF($C$4="低位",G92,IF($C$4="高位",G172,G132)),0)</x:f>
        <x:v>-12763444</x:v>
      </x:c>
      <x:c r="H49" s="277" t="n">
        <x:f>ROUND(IF($C$4="低位",H92,IF($C$4="高位",H172,H132)),0)</x:f>
        <x:v>12763444</x:v>
      </x:c>
      <x:c r="I49" s="277" t="n">
        <x:f>ROUND(IF($C$4="低位",I92,IF($C$4="高位",I172,I132)),0)</x:f>
        <x:v>12685714</x:v>
      </x:c>
      <x:c r="J49" s="277" t="n">
        <x:f>ROUND(IF($C$4="低位",J92,IF($C$4="高位",J172,J132)),0)</x:f>
        <x:v>27223748</x:v>
      </x:c>
      <x:c r="K49" s="277" t="n">
        <x:f>ROUND(IF($C$4="低位",K92,IF($C$4="高位",K172,K132)),0)</x:f>
        <x:v>13539650</x:v>
      </x:c>
      <x:c r="L49" s="409" t="str">
        <x:f>IF('診断'!$C$59&lt;&gt;"OK","",ROUND(IF($C$4="低位",X92,IF($C$4="高位",X172,X132)),0))</x:f>
      </x:c>
      <x:c r="M49" s="409" t="str">
        <x:f>IF('診断'!$C$59&lt;&gt;"OK","",ROUND(IF($C$4="低位",Y92,IF($C$4="高位",Y172,Y132)),0))</x:f>
      </x:c>
      <x:c r="N49" s="409" t="str">
        <x:f>IF('診断'!$C$59&lt;&gt;"OK","",ROUND(IF($C$4="低位",W92,IF($C$4="高位",W172,W132)),0))</x:f>
      </x:c>
      <x:c r="O49" s="409" t="str">
        <x:f>IF('診断'!$C$59&lt;&gt;"OK","",ROUND(IF($C$4="低位",Y92-G92,IF($C$4="高位",Y172-G172,Y132-G132)),0))</x:f>
      </x:c>
    </x:row>
    <x:row r="50" ht="20" customHeight="1">
      <x:c r="A50" s="276" t="n">
        <x:f>IF($C$4="低位",A93,IF($C$4="高位",A173,A133))</x:f>
        <x:v>26</x:v>
      </x:c>
      <x:c r="B50" s="277" t="n">
        <x:f>ROUND(IF($C$4="低位",B93,IF($C$4="高位",B173,B133)),0)</x:f>
        <x:v>1307450</x:v>
      </x:c>
      <x:c r="C50" s="277" t="n">
        <x:f>ROUND(IF($C$4="低位",C93,IF($C$4="高位",C173,C133)),0)</x:f>
        <x:v>515373</x:v>
      </x:c>
      <x:c r="D50" s="277" t="n">
        <x:f>ROUND(IF($C$4="低位",D93,IF($C$4="高位",D173,D133)),0)</x:f>
        <x:v>792078</x:v>
      </x:c>
      <x:c r="E50" s="277" t="n">
        <x:f>ROUND(IF($C$4="低位",E93,IF($C$4="高位",E173,E133)),0)</x:f>
        <x:v>1387115</x:v>
      </x:c>
      <x:c r="F50" s="277" t="n">
        <x:f>ROUND(IF($C$4="低位",F93,IF($C$4="高位",F173,F133)),0)</x:f>
        <x:v>-595037</x:v>
      </x:c>
      <x:c r="G50" s="277" t="n">
        <x:f>ROUND(IF($C$4="低位",G93,IF($C$4="高位",G173,G133)),0)</x:f>
        <x:v>-13358481</x:v>
      </x:c>
      <x:c r="H50" s="277" t="n">
        <x:f>ROUND(IF($C$4="低位",H93,IF($C$4="高位",H173,H133)),0)</x:f>
        <x:v>13358481</x:v>
      </x:c>
      <x:c r="I50" s="277" t="n">
        <x:f>ROUND(IF($C$4="低位",I93,IF($C$4="高位",I173,I133)),0)</x:f>
        <x:v>11517334</x:v>
      </x:c>
      <x:c r="J50" s="277" t="n">
        <x:f>ROUND(IF($C$4="低位",J93,IF($C$4="高位",J173,J133)),0)</x:f>
        <x:v>26951510</x:v>
      </x:c>
      <x:c r="K50" s="277" t="n">
        <x:f>ROUND(IF($C$4="低位",K93,IF($C$4="高位",K173,K133)),0)</x:f>
        <x:v>14444776</x:v>
      </x:c>
      <x:c r="L50" s="409" t="str">
        <x:f>IF('診断'!$C$59&lt;&gt;"OK","",ROUND(IF($C$4="低位",X93,IF($C$4="高位",X173,X133)),0))</x:f>
      </x:c>
      <x:c r="M50" s="409" t="str">
        <x:f>IF('診断'!$C$59&lt;&gt;"OK","",ROUND(IF($C$4="低位",Y93,IF($C$4="高位",Y173,Y133)),0))</x:f>
      </x:c>
      <x:c r="N50" s="409" t="str">
        <x:f>IF('診断'!$C$59&lt;&gt;"OK","",ROUND(IF($C$4="低位",W93,IF($C$4="高位",W173,W133)),0))</x:f>
      </x:c>
      <x:c r="O50" s="409" t="str">
        <x:f>IF('診断'!$C$59&lt;&gt;"OK","",ROUND(IF($C$4="低位",Y93-G93,IF($C$4="高位",Y173-G173,Y133-G133)),0))</x:f>
      </x:c>
    </x:row>
    <x:row r="51" ht="20" customHeight="1">
      <x:c r="A51" s="276" t="n">
        <x:f>IF($C$4="低位",A94,IF($C$4="高位",A174,A134))</x:f>
        <x:v>27</x:v>
      </x:c>
      <x:c r="B51" s="277" t="n">
        <x:f>ROUND(IF($C$4="低位",B94,IF($C$4="高位",B174,B134)),0)</x:f>
        <x:v>1300913</x:v>
      </x:c>
      <x:c r="C51" s="277" t="n">
        <x:f>ROUND(IF($C$4="低位",C94,IF($C$4="高位",C174,C134)),0)</x:f>
        <x:v>515046</x:v>
      </x:c>
      <x:c r="D51" s="277" t="n">
        <x:f>ROUND(IF($C$4="低位",D94,IF($C$4="高位",D174,D134)),0)</x:f>
        <x:v>785867</x:v>
      </x:c>
      <x:c r="E51" s="277" t="n">
        <x:f>ROUND(IF($C$4="低位",E94,IF($C$4="高位",E174,E134)),0)</x:f>
        <x:v>1387115</x:v>
      </x:c>
      <x:c r="F51" s="277" t="n">
        <x:f>ROUND(IF($C$4="低位",F94,IF($C$4="高位",F174,F134)),0)</x:f>
        <x:v>-601247</x:v>
      </x:c>
      <x:c r="G51" s="277" t="n">
        <x:f>ROUND(IF($C$4="低位",G94,IF($C$4="高位",G174,G134)),0)</x:f>
        <x:v>-13959729</x:v>
      </x:c>
      <x:c r="H51" s="277" t="n">
        <x:f>ROUND(IF($C$4="低位",H94,IF($C$4="高位",H174,H134)),0)</x:f>
        <x:v>13959729</x:v>
      </x:c>
      <x:c r="I51" s="277" t="n">
        <x:f>ROUND(IF($C$4="低位",I94,IF($C$4="高位",I174,I134)),0)</x:f>
        <x:v>10327749</x:v>
      </x:c>
      <x:c r="J51" s="277" t="n">
        <x:f>ROUND(IF($C$4="低位",J94,IF($C$4="高位",J174,J134)),0)</x:f>
        <x:v>26681995</x:v>
      </x:c>
      <x:c r="K51" s="277" t="n">
        <x:f>ROUND(IF($C$4="低位",K94,IF($C$4="高位",K174,K134)),0)</x:f>
        <x:v>15373740</x:v>
      </x:c>
      <x:c r="L51" s="409" t="str">
        <x:f>IF('診断'!$C$59&lt;&gt;"OK","",ROUND(IF($C$4="低位",X94,IF($C$4="高位",X174,X134)),0))</x:f>
      </x:c>
      <x:c r="M51" s="409" t="str">
        <x:f>IF('診断'!$C$59&lt;&gt;"OK","",ROUND(IF($C$4="低位",Y94,IF($C$4="高位",Y174,Y134)),0))</x:f>
      </x:c>
      <x:c r="N51" s="409" t="str">
        <x:f>IF('診断'!$C$59&lt;&gt;"OK","",ROUND(IF($C$4="低位",W94,IF($C$4="高位",W174,W134)),0))</x:f>
      </x:c>
      <x:c r="O51" s="409" t="str">
        <x:f>IF('診断'!$C$59&lt;&gt;"OK","",ROUND(IF($C$4="低位",Y94-G94,IF($C$4="高位",Y174-G174,Y134-G134)),0))</x:f>
      </x:c>
    </x:row>
    <x:row r="52" ht="20" customHeight="1">
      <x:c r="A52" s="276" t="n">
        <x:f>IF($C$4="低位",A95,IF($C$4="高位",A175,A135))</x:f>
        <x:v>28</x:v>
      </x:c>
      <x:c r="B52" s="277" t="n">
        <x:f>ROUND(IF($C$4="低位",B95,IF($C$4="高位",B175,B135)),0)</x:f>
        <x:v>1294409</x:v>
      </x:c>
      <x:c r="C52" s="277" t="n">
        <x:f>ROUND(IF($C$4="低位",C95,IF($C$4="高位",C175,C135)),0)</x:f>
        <x:v>514720</x:v>
      </x:c>
      <x:c r="D52" s="277" t="n">
        <x:f>ROUND(IF($C$4="低位",D95,IF($C$4="高位",D175,D135)),0)</x:f>
        <x:v>779688</x:v>
      </x:c>
      <x:c r="E52" s="277" t="n">
        <x:f>ROUND(IF($C$4="低位",E95,IF($C$4="高位",E175,E135)),0)</x:f>
        <x:v>1387115</x:v>
      </x:c>
      <x:c r="F52" s="277" t="n">
        <x:f>ROUND(IF($C$4="低位",F95,IF($C$4="高位",F175,F135)),0)</x:f>
        <x:v>-607427</x:v>
      </x:c>
      <x:c r="G52" s="277" t="n">
        <x:f>ROUND(IF($C$4="低位",G95,IF($C$4="高位",G175,G135)),0)</x:f>
        <x:v>-14567155</x:v>
      </x:c>
      <x:c r="H52" s="277" t="n">
        <x:f>ROUND(IF($C$4="低位",H95,IF($C$4="高位",H175,H135)),0)</x:f>
        <x:v>14567155</x:v>
      </x:c>
      <x:c r="I52" s="277" t="n">
        <x:f>ROUND(IF($C$4="低位",I95,IF($C$4="高位",I175,I135)),0)</x:f>
        <x:v>9116574</x:v>
      </x:c>
      <x:c r="J52" s="277" t="n">
        <x:f>ROUND(IF($C$4="低位",J95,IF($C$4="高位",J175,J135)),0)</x:f>
        <x:v>26415175</x:v>
      </x:c>
      <x:c r="K52" s="277" t="n">
        <x:f>ROUND(IF($C$4="低位",K95,IF($C$4="高位",K175,K135)),0)</x:f>
        <x:v>16326900</x:v>
      </x:c>
      <x:c r="L52" s="409" t="str">
        <x:f>IF('診断'!$C$59&lt;&gt;"OK","",ROUND(IF($C$4="低位",X95,IF($C$4="高位",X175,X135)),0))</x:f>
      </x:c>
      <x:c r="M52" s="409" t="str">
        <x:f>IF('診断'!$C$59&lt;&gt;"OK","",ROUND(IF($C$4="低位",Y95,IF($C$4="高位",Y175,Y135)),0))</x:f>
      </x:c>
      <x:c r="N52" s="409" t="str">
        <x:f>IF('診断'!$C$59&lt;&gt;"OK","",ROUND(IF($C$4="低位",W95,IF($C$4="高位",W175,W135)),0))</x:f>
      </x:c>
      <x:c r="O52" s="409" t="str">
        <x:f>IF('診断'!$C$59&lt;&gt;"OK","",ROUND(IF($C$4="低位",Y95-G95,IF($C$4="高位",Y175-G175,Y135-G135)),0))</x:f>
      </x:c>
    </x:row>
    <x:row r="53" ht="20" customHeight="1">
      <x:c r="A53" s="276" t="n">
        <x:f>IF($C$4="低位",A96,IF($C$4="高位",A176,A136))</x:f>
        <x:v>29</x:v>
      </x:c>
      <x:c r="B53" s="277" t="n">
        <x:f>ROUND(IF($C$4="低位",B96,IF($C$4="高位",B176,B136)),0)</x:f>
        <x:v>1287937</x:v>
      </x:c>
      <x:c r="C53" s="277" t="n">
        <x:f>ROUND(IF($C$4="低位",C96,IF($C$4="高位",C176,C136)),0)</x:f>
        <x:v>514397</x:v>
      </x:c>
      <x:c r="D53" s="277" t="n">
        <x:f>ROUND(IF($C$4="低位",D96,IF($C$4="高位",D176,D136)),0)</x:f>
        <x:v>773540</x:v>
      </x:c>
      <x:c r="E53" s="277" t="n">
        <x:f>ROUND(IF($C$4="低位",E96,IF($C$4="高位",E176,E136)),0)</x:f>
        <x:v>1387115</x:v>
      </x:c>
      <x:c r="F53" s="277" t="n">
        <x:f>ROUND(IF($C$4="低位",F96,IF($C$4="高位",F176,F136)),0)</x:f>
        <x:v>-613575</x:v>
      </x:c>
      <x:c r="G53" s="277" t="n">
        <x:f>ROUND(IF($C$4="低位",G96,IF($C$4="高位",G176,G136)),0)</x:f>
        <x:v>-15180730</x:v>
      </x:c>
      <x:c r="H53" s="277" t="n">
        <x:f>ROUND(IF($C$4="低位",H96,IF($C$4="高位",H176,H136)),0)</x:f>
        <x:v>15180730</x:v>
      </x:c>
      <x:c r="I53" s="277" t="n">
        <x:f>ROUND(IF($C$4="低位",I96,IF($C$4="高位",I176,I136)),0)</x:f>
        <x:v>7883417</x:v>
      </x:c>
      <x:c r="J53" s="277" t="n">
        <x:f>ROUND(IF($C$4="低位",J96,IF($C$4="高位",J176,J136)),0)</x:f>
        <x:v>26151023</x:v>
      </x:c>
      <x:c r="K53" s="277" t="n">
        <x:f>ROUND(IF($C$4="低位",K96,IF($C$4="高位",K176,K136)),0)</x:f>
        <x:v>17304622</x:v>
      </x:c>
      <x:c r="L53" s="409" t="str">
        <x:f>IF('診断'!$C$59&lt;&gt;"OK","",ROUND(IF($C$4="低位",X96,IF($C$4="高位",X176,X136)),0))</x:f>
      </x:c>
      <x:c r="M53" s="409" t="str">
        <x:f>IF('診断'!$C$59&lt;&gt;"OK","",ROUND(IF($C$4="低位",Y96,IF($C$4="高位",Y176,Y136)),0))</x:f>
      </x:c>
      <x:c r="N53" s="409" t="str">
        <x:f>IF('診断'!$C$59&lt;&gt;"OK","",ROUND(IF($C$4="低位",W96,IF($C$4="高位",W176,W136)),0))</x:f>
      </x:c>
      <x:c r="O53" s="409" t="str">
        <x:f>IF('診断'!$C$59&lt;&gt;"OK","",ROUND(IF($C$4="低位",Y96-G96,IF($C$4="高位",Y176-G176,Y136-G136)),0))</x:f>
      </x:c>
    </x:row>
    <x:row r="54" ht="20" customHeight="1">
      <x:c r="A54" s="276" t="n">
        <x:f>IF($C$4="低位",A97,IF($C$4="高位",A177,A137))</x:f>
        <x:v>30</x:v>
      </x:c>
      <x:c r="B54" s="277" t="n">
        <x:f>ROUND(IF($C$4="低位",B97,IF($C$4="高位",B177,B137)),0)</x:f>
        <x:v>1281497</x:v>
      </x:c>
      <x:c r="C54" s="277" t="n">
        <x:f>ROUND(IF($C$4="低位",C97,IF($C$4="高位",C177,C137)),0)</x:f>
        <x:v>514075</x:v>
      </x:c>
      <x:c r="D54" s="277" t="n">
        <x:f>ROUND(IF($C$4="低位",D97,IF($C$4="高位",D177,D137)),0)</x:f>
        <x:v>767422</x:v>
      </x:c>
      <x:c r="E54" s="277" t="n">
        <x:f>ROUND(IF($C$4="低位",E97,IF($C$4="高位",E177,E137)),0)</x:f>
        <x:v>1387115</x:v>
      </x:c>
      <x:c r="F54" s="277" t="n">
        <x:f>ROUND(IF($C$4="低位",F97,IF($C$4="高位",F177,F137)),0)</x:f>
        <x:v>-619693</x:v>
      </x:c>
      <x:c r="G54" s="277" t="n">
        <x:f>ROUND(IF($C$4="低位",G97,IF($C$4="高位",G177,G137)),0)</x:f>
        <x:v>-15800423</x:v>
      </x:c>
      <x:c r="H54" s="277" t="n">
        <x:f>ROUND(IF($C$4="低位",H97,IF($C$4="高位",H177,H137)),0)</x:f>
        <x:v>15800423</x:v>
      </x:c>
      <x:c r="I54" s="277" t="n">
        <x:f>ROUND(IF($C$4="低位",I97,IF($C$4="高位",I177,I137)),0)</x:f>
        <x:v>6627880</x:v>
      </x:c>
      <x:c r="J54" s="277" t="n">
        <x:f>ROUND(IF($C$4="低位",J97,IF($C$4="高位",J177,J137)),0)</x:f>
        <x:v>25889513</x:v>
      </x:c>
      <x:c r="K54" s="277" t="n">
        <x:f>ROUND(IF($C$4="低位",K97,IF($C$4="高位",K177,K137)),0)</x:f>
        <x:v>18307280</x:v>
      </x:c>
      <x:c r="L54" s="409" t="str">
        <x:f>IF('診断'!$C$59&lt;&gt;"OK","",ROUND(IF($C$4="低位",X97,IF($C$4="高位",X177,X137)),0))</x:f>
      </x:c>
      <x:c r="M54" s="409" t="str">
        <x:f>IF('診断'!$C$59&lt;&gt;"OK","",ROUND(IF($C$4="低位",Y97,IF($C$4="高位",Y177,Y137)),0))</x:f>
      </x:c>
      <x:c r="N54" s="409" t="str">
        <x:f>IF('診断'!$C$59&lt;&gt;"OK","",ROUND(IF($C$4="低位",W97,IF($C$4="高位",W177,W137)),0))</x:f>
      </x:c>
      <x:c r="O54" s="409" t="str">
        <x:f>IF('診断'!$C$59&lt;&gt;"OK","",ROUND(IF($C$4="低位",Y97-G97,IF($C$4="高位",Y177-G177,Y137-G137)),0))</x:f>
      </x:c>
    </x:row>
    <x:row r="55" ht="20" customHeight="1">
      <x:c r="A55" s="276" t="n">
        <x:f>IF($C$4="低位",A98,IF($C$4="高位",A178,A138))</x:f>
        <x:v>31</x:v>
      </x:c>
      <x:c r="B55" s="277" t="n">
        <x:f>ROUND(IF($C$4="低位",B98,IF($C$4="高位",B178,B138)),0)</x:f>
        <x:v>1275089</x:v>
      </x:c>
      <x:c r="C55" s="277" t="n">
        <x:f>ROUND(IF($C$4="低位",C98,IF($C$4="高位",C178,C138)),0)</x:f>
        <x:v>513754</x:v>
      </x:c>
      <x:c r="D55" s="277" t="n">
        <x:f>ROUND(IF($C$4="低位",D98,IF($C$4="高位",D178,D138)),0)</x:f>
        <x:v>761335</x:v>
      </x:c>
      <x:c r="E55" s="277" t="n">
        <x:f>ROUND(IF($C$4="低位",E98,IF($C$4="高位",E178,E138)),0)</x:f>
        <x:v>1387115</x:v>
      </x:c>
      <x:c r="F55" s="277" t="n">
        <x:f>ROUND(IF($C$4="低位",F98,IF($C$4="高位",F178,F138)),0)</x:f>
        <x:v>-625780</x:v>
      </x:c>
      <x:c r="G55" s="277" t="n">
        <x:f>ROUND(IF($C$4="低位",G98,IF($C$4="高位",G178,G138)),0)</x:f>
        <x:v>-16426203</x:v>
      </x:c>
      <x:c r="H55" s="277" t="n">
        <x:f>ROUND(IF($C$4="低位",H98,IF($C$4="高位",H178,H138)),0)</x:f>
        <x:v>16426203</x:v>
      </x:c>
      <x:c r="I55" s="277" t="n">
        <x:f>ROUND(IF($C$4="低位",I98,IF($C$4="高位",I178,I138)),0)</x:f>
        <x:v>5349555</x:v>
      </x:c>
      <x:c r="J55" s="277" t="n">
        <x:f>ROUND(IF($C$4="低位",J98,IF($C$4="高位",J178,J138)),0)</x:f>
        <x:v>25630618</x:v>
      </x:c>
      <x:c r="K55" s="277" t="n">
        <x:f>ROUND(IF($C$4="低位",K98,IF($C$4="高位",K178,K138)),0)</x:f>
        <x:v>19335253</x:v>
      </x:c>
      <x:c r="L55" s="409" t="str">
        <x:f>IF('診断'!$C$59&lt;&gt;"OK","",ROUND(IF($C$4="低位",X98,IF($C$4="高位",X178,X138)),0))</x:f>
      </x:c>
      <x:c r="M55" s="409" t="str">
        <x:f>IF('診断'!$C$59&lt;&gt;"OK","",ROUND(IF($C$4="低位",Y98,IF($C$4="高位",Y178,Y138)),0))</x:f>
      </x:c>
      <x:c r="N55" s="409" t="str">
        <x:f>IF('診断'!$C$59&lt;&gt;"OK","",ROUND(IF($C$4="低位",W98,IF($C$4="高位",W178,W138)),0))</x:f>
      </x:c>
      <x:c r="O55" s="409" t="str">
        <x:f>IF('診断'!$C$59&lt;&gt;"OK","",ROUND(IF($C$4="低位",Y98-G98,IF($C$4="高位",Y178-G178,Y138-G138)),0))</x:f>
      </x:c>
    </x:row>
    <x:row r="56" ht="20" customHeight="1">
      <x:c r="A56" s="276" t="n">
        <x:f>IF($C$4="低位",A99,IF($C$4="高位",A179,A139))</x:f>
        <x:v>32</x:v>
      </x:c>
      <x:c r="B56" s="277" t="n">
        <x:f>ROUND(IF($C$4="低位",B99,IF($C$4="高位",B179,B139)),0)</x:f>
        <x:v>1268714</x:v>
      </x:c>
      <x:c r="C56" s="277" t="n">
        <x:f>ROUND(IF($C$4="低位",C99,IF($C$4="高位",C179,C139)),0)</x:f>
        <x:v>513436</x:v>
      </x:c>
      <x:c r="D56" s="277" t="n">
        <x:f>ROUND(IF($C$4="低位",D99,IF($C$4="高位",D179,D139)),0)</x:f>
        <x:v>755278</x:v>
      </x:c>
      <x:c r="E56" s="277" t="n">
        <x:f>ROUND(IF($C$4="低位",E99,IF($C$4="高位",E179,E139)),0)</x:f>
        <x:v>1387115</x:v>
      </x:c>
      <x:c r="F56" s="277" t="n">
        <x:f>ROUND(IF($C$4="低位",F99,IF($C$4="高位",F179,F139)),0)</x:f>
        <x:v>-631837</x:v>
      </x:c>
      <x:c r="G56" s="277" t="n">
        <x:f>ROUND(IF($C$4="低位",G99,IF($C$4="高位",G179,G139)),0)</x:f>
        <x:v>-17058039</x:v>
      </x:c>
      <x:c r="H56" s="277" t="n">
        <x:f>ROUND(IF($C$4="低位",H99,IF($C$4="高位",H179,H139)),0)</x:f>
        <x:v>17058039</x:v>
      </x:c>
      <x:c r="I56" s="277" t="n">
        <x:f>ROUND(IF($C$4="低位",I99,IF($C$4="高位",I179,I139)),0)</x:f>
        <x:v>4048029</x:v>
      </x:c>
      <x:c r="J56" s="277" t="n">
        <x:f>ROUND(IF($C$4="低位",J99,IF($C$4="高位",J179,J139)),0)</x:f>
        <x:v>25374312</x:v>
      </x:c>
      <x:c r="K56" s="277" t="n">
        <x:f>ROUND(IF($C$4="低位",K99,IF($C$4="高位",K179,K139)),0)</x:f>
        <x:v>20388930</x:v>
      </x:c>
      <x:c r="L56" s="409" t="str">
        <x:f>IF('診断'!$C$59&lt;&gt;"OK","",ROUND(IF($C$4="低位",X99,IF($C$4="高位",X179,X139)),0))</x:f>
      </x:c>
      <x:c r="M56" s="409" t="str">
        <x:f>IF('診断'!$C$59&lt;&gt;"OK","",ROUND(IF($C$4="低位",Y99,IF($C$4="高位",Y179,Y139)),0))</x:f>
      </x:c>
      <x:c r="N56" s="409" t="str">
        <x:f>IF('診断'!$C$59&lt;&gt;"OK","",ROUND(IF($C$4="低位",W99,IF($C$4="高位",W179,W139)),0))</x:f>
      </x:c>
      <x:c r="O56" s="409" t="str">
        <x:f>IF('診断'!$C$59&lt;&gt;"OK","",ROUND(IF($C$4="低位",Y99-G99,IF($C$4="高位",Y179-G179,Y139-G139)),0))</x:f>
      </x:c>
    </x:row>
    <x:row r="57" ht="20" customHeight="1">
      <x:c r="A57" s="276" t="n">
        <x:f>IF($C$4="低位",A100,IF($C$4="高位",A180,A140))</x:f>
        <x:v>33</x:v>
      </x:c>
      <x:c r="B57" s="277" t="n">
        <x:f>ROUND(IF($C$4="低位",B100,IF($C$4="高位",B180,B140)),0)</x:f>
        <x:v>1262370</x:v>
      </x:c>
      <x:c r="C57" s="277" t="n">
        <x:f>ROUND(IF($C$4="低位",C100,IF($C$4="高位",C180,C140)),0)</x:f>
        <x:v>513119</x:v>
      </x:c>
      <x:c r="D57" s="277" t="n">
        <x:f>ROUND(IF($C$4="低位",D100,IF($C$4="高位",D180,D140)),0)</x:f>
        <x:v>749252</x:v>
      </x:c>
      <x:c r="E57" s="277" t="n">
        <x:f>ROUND(IF($C$4="低位",E100,IF($C$4="高位",E180,E140)),0)</x:f>
        <x:v>1387115</x:v>
      </x:c>
      <x:c r="F57" s="277" t="n">
        <x:f>ROUND(IF($C$4="低位",F100,IF($C$4="高位",F180,F140)),0)</x:f>
        <x:v>-637863</x:v>
      </x:c>
      <x:c r="G57" s="277" t="n">
        <x:f>ROUND(IF($C$4="低位",G100,IF($C$4="高位",G180,G140)),0)</x:f>
        <x:v>-17695902</x:v>
      </x:c>
      <x:c r="H57" s="277" t="n">
        <x:f>ROUND(IF($C$4="低位",H100,IF($C$4="高位",H180,H140)),0)</x:f>
        <x:v>17695902</x:v>
      </x:c>
      <x:c r="I57" s="277" t="n">
        <x:f>ROUND(IF($C$4="低位",I100,IF($C$4="高位",I180,I140)),0)</x:f>
        <x:v>2722882</x:v>
      </x:c>
      <x:c r="J57" s="277" t="n">
        <x:f>ROUND(IF($C$4="低位",J100,IF($C$4="高位",J180,J140)),0)</x:f>
        <x:v>25120569</x:v>
      </x:c>
      <x:c r="K57" s="277" t="n">
        <x:f>ROUND(IF($C$4="低位",K100,IF($C$4="高位",K180,K140)),0)</x:f>
        <x:v>21468708</x:v>
      </x:c>
      <x:c r="L57" s="409" t="str">
        <x:f>IF('診断'!$C$59&lt;&gt;"OK","",ROUND(IF($C$4="低位",X100,IF($C$4="高位",X180,X140)),0))</x:f>
      </x:c>
      <x:c r="M57" s="409" t="str">
        <x:f>IF('診断'!$C$59&lt;&gt;"OK","",ROUND(IF($C$4="低位",Y100,IF($C$4="高位",Y180,Y140)),0))</x:f>
      </x:c>
      <x:c r="N57" s="409" t="str">
        <x:f>IF('診断'!$C$59&lt;&gt;"OK","",ROUND(IF($C$4="低位",W100,IF($C$4="高位",W180,W140)),0))</x:f>
      </x:c>
      <x:c r="O57" s="409" t="str">
        <x:f>IF('診断'!$C$59&lt;&gt;"OK","",ROUND(IF($C$4="低位",Y100-G100,IF($C$4="高位",Y180-G180,Y140-G140)),0))</x:f>
      </x:c>
    </x:row>
    <x:row r="58" ht="20" customHeight="1">
      <x:c r="A58" s="276" t="n">
        <x:f>IF($C$4="低位",A101,IF($C$4="高位",A181,A141))</x:f>
        <x:v>34</x:v>
      </x:c>
      <x:c r="B58" s="277" t="n">
        <x:f>ROUND(IF($C$4="低位",B101,IF($C$4="高位",B181,B141)),0)</x:f>
        <x:v>1256059</x:v>
      </x:c>
      <x:c r="C58" s="277" t="n">
        <x:f>ROUND(IF($C$4="低位",C101,IF($C$4="高位",C181,C141)),0)</x:f>
        <x:v>512803</x:v>
      </x:c>
      <x:c r="D58" s="277" t="n">
        <x:f>ROUND(IF($C$4="低位",D101,IF($C$4="高位",D181,D141)),0)</x:f>
        <x:v>743256</x:v>
      </x:c>
      <x:c r="E58" s="277" t="n">
        <x:f>ROUND(IF($C$4="低位",E101,IF($C$4="高位",E181,E141)),0)</x:f>
        <x:v>1387115</x:v>
      </x:c>
      <x:c r="F58" s="277" t="n">
        <x:f>ROUND(IF($C$4="低位",F101,IF($C$4="高位",F181,F141)),0)</x:f>
        <x:v>-643859</x:v>
      </x:c>
      <x:c r="G58" s="277" t="n">
        <x:f>ROUND(IF($C$4="低位",G101,IF($C$4="高位",G181,G141)),0)</x:f>
        <x:v>-18339761</x:v>
      </x:c>
      <x:c r="H58" s="277" t="n">
        <x:f>ROUND(IF($C$4="低位",H101,IF($C$4="高位",H181,H141)),0)</x:f>
        <x:v>18339761</x:v>
      </x:c>
      <x:c r="I58" s="277" t="n">
        <x:f>ROUND(IF($C$4="低位",I101,IF($C$4="高位",I181,I141)),0)</x:f>
        <x:v>1373685</x:v>
      </x:c>
      <x:c r="J58" s="277" t="n">
        <x:f>ROUND(IF($C$4="低位",J101,IF($C$4="高位",J181,J141)),0)</x:f>
        <x:v>24869363</x:v>
      </x:c>
      <x:c r="K58" s="277" t="n">
        <x:f>ROUND(IF($C$4="低位",K101,IF($C$4="高位",K181,K141)),0)</x:f>
        <x:v>22574989</x:v>
      </x:c>
      <x:c r="L58" s="409" t="str">
        <x:f>IF('診断'!$C$59&lt;&gt;"OK","",ROUND(IF($C$4="低位",X101,IF($C$4="高位",X181,X141)),0))</x:f>
      </x:c>
      <x:c r="M58" s="409" t="str">
        <x:f>IF('診断'!$C$59&lt;&gt;"OK","",ROUND(IF($C$4="低位",Y101,IF($C$4="高位",Y181,Y141)),0))</x:f>
      </x:c>
      <x:c r="N58" s="409" t="str">
        <x:f>IF('診断'!$C$59&lt;&gt;"OK","",ROUND(IF($C$4="低位",W101,IF($C$4="高位",W181,W141)),0))</x:f>
      </x:c>
      <x:c r="O58" s="409" t="str">
        <x:f>IF('診断'!$C$59&lt;&gt;"OK","",ROUND(IF($C$4="低位",Y101-G101,IF($C$4="高位",Y181-G181,Y141-G141)),0))</x:f>
      </x:c>
    </x:row>
    <x:row r="59" ht="20" customHeight="1">
      <x:c r="A59" s="276" t="n">
        <x:f>IF($C$4="低位",A102,IF($C$4="高位",A182,A142))</x:f>
        <x:v>35</x:v>
      </x:c>
      <x:c r="B59" s="277" t="n">
        <x:f>ROUND(IF($C$4="低位",B102,IF($C$4="高位",B182,B142)),0)</x:f>
        <x:v>1249778</x:v>
      </x:c>
      <x:c r="C59" s="277" t="n">
        <x:f>ROUND(IF($C$4="低位",C102,IF($C$4="高位",C182,C142)),0)</x:f>
        <x:v>512489</x:v>
      </x:c>
      <x:c r="D59" s="277" t="n">
        <x:f>ROUND(IF($C$4="低位",D102,IF($C$4="高位",D182,D142)),0)</x:f>
        <x:v>737289</x:v>
      </x:c>
      <x:c r="E59" s="277" t="n">
        <x:f>ROUND(IF($C$4="低位",E102,IF($C$4="高位",E182,E142)),0)</x:f>
        <x:v>1387115</x:v>
      </x:c>
      <x:c r="F59" s="277" t="n">
        <x:f>ROUND(IF($C$4="低位",F102,IF($C$4="高位",F182,F142)),0)</x:f>
        <x:v>-649825</x:v>
      </x:c>
      <x:c r="G59" s="277" t="n">
        <x:f>ROUND(IF($C$4="低位",G102,IF($C$4="高位",G182,G142)),0)</x:f>
        <x:v>-18989587</x:v>
      </x:c>
      <x:c r="H59" s="277" t="n">
        <x:f>ROUND(IF($C$4="低位",H102,IF($C$4="高位",H182,H142)),0)</x:f>
        <x:v>18989587</x:v>
      </x:c>
      <x:c r="I59" s="277" t="n">
        <x:f>ROUND(IF($C$4="低位",I102,IF($C$4="高位",I182,I142)),0)</x:f>
        <x:v>0</x:v>
      </x:c>
      <x:c r="J59" s="277" t="n">
        <x:f>ROUND(IF($C$4="低位",J102,IF($C$4="高位",J182,J142)),0)</x:f>
        <x:v>24620669</x:v>
      </x:c>
      <x:c r="K59" s="277" t="n">
        <x:f>ROUND(IF($C$4="低位",K102,IF($C$4="高位",K182,K142)),0)</x:f>
        <x:v>23708187</x:v>
      </x:c>
      <x:c r="L59" s="409" t="str">
        <x:f>IF('診断'!$C$59&lt;&gt;"OK","",ROUND(IF($C$4="低位",X102,IF($C$4="高位",X182,X142)),0))</x:f>
      </x:c>
      <x:c r="M59" s="409" t="str">
        <x:f>IF('診断'!$C$59&lt;&gt;"OK","",ROUND(IF($C$4="低位",Y102,IF($C$4="高位",Y182,Y142)),0))</x:f>
      </x:c>
      <x:c r="N59" s="409" t="str">
        <x:f>IF('診断'!$C$59&lt;&gt;"OK","",ROUND(IF($C$4="低位",W102,IF($C$4="高位",W182,W142)),0))</x:f>
      </x:c>
      <x:c r="O59" s="409" t="str">
        <x:f>IF('診断'!$C$59&lt;&gt;"OK","",ROUND(IF($C$4="低位",Y102-G102,IF($C$4="高位",Y182-G182,Y142-G142)),0))</x:f>
      </x:c>
    </x:row>
    <x:row r="60" ht="20" customHeight="1">
      <x:c r="A60" s="197"/>
      <x:c r="B60" s="197"/>
      <x:c r="C60" s="197"/>
      <x:c r="D60" s="197"/>
      <x:c r="E60" s="197"/>
      <x:c r="F60" s="197"/>
      <x:c r="G60" s="197"/>
      <x:c r="H60" s="197"/>
      <x:c r="I60" s="197"/>
      <x:c r="J60" s="197"/>
      <x:c r="K60" s="197"/>
      <x:c r="L60" s="197"/>
      <x:c r="M60" s="197"/>
      <x:c r="N60" s="197"/>
      <x:c r="O60" s="197"/>
    </x:row>
    <x:row r="61" ht="20" customHeight="1">
      <x:c r="A61" s="197"/>
      <x:c r="B61" s="197"/>
      <x:c r="C61" s="197"/>
      <x:c r="D61" s="197"/>
      <x:c r="E61" s="197"/>
      <x:c r="F61" s="197"/>
      <x:c r="G61" s="197"/>
      <x:c r="H61" s="197"/>
      <x:c r="I61" s="197"/>
      <x:c r="J61" s="197"/>
      <x:c r="K61" s="197"/>
      <x:c r="L61" s="197"/>
      <x:c r="M61" s="197"/>
      <x:c r="N61" s="197"/>
      <x:c r="O61" s="197"/>
    </x:row>
    <x:row r="62" ht="20" customHeight="1">
      <x:c r="A62" s="198" t="str">
        <x:v>計算監査用｜通常はここから下を確認する必要はありません</x:v>
      </x:c>
      <x:c r="B62" s="198"/>
      <x:c r="C62" s="198"/>
      <x:c r="D62" s="198"/>
      <x:c r="E62" s="198"/>
      <x:c r="F62" s="198"/>
      <x:c r="G62" s="198"/>
      <x:c r="H62" s="198"/>
      <x:c r="I62" s="198"/>
      <x:c r="J62" s="198"/>
      <x:c r="K62" s="198"/>
      <x:c r="L62" s="197"/>
      <x:c r="M62" s="197"/>
      <x:c r="N62" s="197"/>
      <x:c r="O62" s="197"/>
    </x:row>
    <x:row r="63" ht="20" customHeight="1">
      <x:c r="A63" s="197"/>
      <x:c r="B63" s="197"/>
      <x:c r="C63" s="197"/>
      <x:c r="D63" s="197"/>
      <x:c r="E63" s="197"/>
      <x:c r="F63" s="197"/>
      <x:c r="G63" s="197"/>
      <x:c r="H63" s="197"/>
      <x:c r="I63" s="197"/>
      <x:c r="J63" s="197"/>
      <x:c r="K63" s="197"/>
      <x:c r="L63" s="197"/>
      <x:c r="M63" s="197"/>
      <x:c r="N63" s="197"/>
      <x:c r="O63" s="197"/>
    </x:row>
    <x:row r="64" ht="20" customHeight="1">
      <x:c r="A64" s="197"/>
      <x:c r="B64" s="197"/>
      <x:c r="C64" s="197"/>
      <x:c r="D64" s="197"/>
      <x:c r="E64" s="197"/>
      <x:c r="F64" s="197"/>
      <x:c r="G64" s="197"/>
      <x:c r="H64" s="197"/>
      <x:c r="I64" s="197"/>
      <x:c r="J64" s="197"/>
      <x:c r="K64" s="197"/>
      <x:c r="L64" s="197"/>
      <x:c r="M64" s="197"/>
      <x:c r="N64" s="197"/>
      <x:c r="O64" s="197"/>
    </x:row>
    <x:row r="65" ht="20" customHeight="1">
      <x:c r="A65" s="197"/>
      <x:c r="B65" s="197"/>
      <x:c r="C65" s="197"/>
      <x:c r="D65" s="197"/>
      <x:c r="E65" s="197"/>
      <x:c r="F65" s="197"/>
      <x:c r="G65" s="197"/>
      <x:c r="H65" s="197"/>
      <x:c r="I65" s="197"/>
      <x:c r="J65" s="197"/>
      <x:c r="K65" s="197"/>
      <x:c r="L65" s="197"/>
      <x:c r="M65" s="197"/>
      <x:c r="N65" s="197"/>
      <x:c r="O65" s="197"/>
    </x:row>
    <x:row r="66" ht="20" customHeight="1">
      <x:c r="A66" s="278" t="str">
        <x:v>低位｜計算監査用</x:v>
      </x:c>
      <x:c r="B66" s="278"/>
      <x:c r="C66" s="278"/>
      <x:c r="D66" s="278"/>
      <x:c r="E66" s="278"/>
      <x:c r="F66" s="278"/>
      <x:c r="G66" s="278"/>
      <x:c r="H66" s="278"/>
      <x:c r="I66" s="278"/>
      <x:c r="J66" s="278"/>
      <x:c r="K66" s="278"/>
      <x:c r="L66" s="197"/>
      <x:c r="M66" s="197"/>
      <x:c r="N66" s="197"/>
      <x:c r="O66" s="197"/>
    </x:row>
    <x:row r="67" ht="20" customHeight="1">
      <x:c r="A67" s="279" t="str">
        <x:v>年</x:v>
      </x:c>
      <x:c r="B67" s="279" t="str">
        <x:v>実効家賃</x:v>
      </x:c>
      <x:c r="C67" s="279" t="str">
        <x:v>運営費</x:v>
      </x:c>
      <x:c r="D67" s="279" t="str">
        <x:v>NOI</x:v>
      </x:c>
      <x:c r="E67" s="279" t="str">
        <x:v>返済額</x:v>
      </x:c>
      <x:c r="F67" s="279" t="str">
        <x:v>年間CF</x:v>
      </x:c>
      <x:c r="G67" s="279" t="str">
        <x:v>累積CF</x:v>
      </x:c>
      <x:c r="H67" s="279" t="str">
        <x:v>追加投入現金</x:v>
      </x:c>
      <x:c r="I67" s="279" t="str">
        <x:v>残債</x:v>
      </x:c>
      <x:c r="J67" s="279" t="str">
        <x:v>推定売却価格</x:v>
      </x:c>
      <x:c r="K67" s="279" t="str">
        <x:v>売却後手取り</x:v>
      </x:c>
      <x:c r="L67" s="197" t="str">
        <x:v>支払利息</x:v>
      </x:c>
      <x:c r="M67" s="197" t="str">
        <x:v>躯体償却</x:v>
      </x:c>
      <x:c r="N67" s="197" t="str">
        <x:v>設備償却</x:v>
      </x:c>
      <x:c r="O67" s="197" t="str">
        <x:v>減価償却</x:v>
      </x:c>
      <x:c r="P67" t="str">
        <x:v>不動産所得</x:v>
      </x:c>
      <x:c r="Q67" t="str">
        <x:v>土地取得利息</x:v>
      </x:c>
      <x:c r="R67" t="str">
        <x:v>損益通算反映額</x:v>
      </x:c>
      <x:c r="S67" t="str">
        <x:v>所得税課税所得</x:v>
      </x:c>
      <x:c r="T67" t="str">
        <x:v>所得税等</x:v>
      </x:c>
      <x:c r="U67" t="str">
        <x:v>住民税課税所得</x:v>
      </x:c>
      <x:c r="V67" t="str">
        <x:v>住民税</x:v>
      </x:c>
      <x:c r="W67" t="str">
        <x:v>税効果</x:v>
      </x:c>
      <x:c r="X67" t="str">
        <x:v>税引後CF</x:v>
      </x:c>
      <x:c r="Y67" t="str">
        <x:v>税引後累積CF</x:v>
      </x:c>
      <x:c r="Z67" t="str">
        <x:v>躯体簿価</x:v>
      </x:c>
      <x:c r="AA67" t="str">
        <x:v>設備簿価</x:v>
      </x:c>
      <x:c r="AB67" t="str">
        <x:v>売却時取得費</x:v>
      </x:c>
      <x:c r="AC67" t="str">
        <x:v>課税譲渡所得</x:v>
      </x:c>
      <x:c r="AD67" t="str">
        <x:v>譲渡所得税</x:v>
      </x:c>
      <x:c r="AE67" t="str">
        <x:v>売却手取り（税後）</x:v>
      </x:c>
      <x:c r="AF67" t="str">
        <x:v>最終損益（税後）</x:v>
      </x:c>
      <x:c r="AG67" t="str">
        <x:v>長期・短期</x:v>
      </x:c>
    </x:row>
    <x:row r="68" ht="20" customHeight="1">
      <x:c r="A68" s="197" t="n">
        <x:v>1</x:v>
      </x:c>
      <x:c r="B68" s="242" t="n">
        <x:f>'診断'!$C$12*12*'診断'!$B$30*'診断'!$B$31*(1-'診断'!$C$19)^(A68-1)</x:f>
        <x:v>1193400</x:v>
      </x:c>
      <x:c r="C68" s="242" t="n">
        <x:f>(('診断'!$C$13+'診断'!$C$14)*12+'診断'!$C$21+'診断'!$C$22+B68*'診断'!$C$15)*'診断'!$B$33+'診断'!$C$23*'診断'!$B$34</x:f>
        <x:v>649587.5</x:v>
      </x:c>
      <x:c r="D68" s="242" t="n">
        <x:f>B68-C68</x:f>
        <x:v>543812.5</x:v>
      </x:c>
      <x:c r="E68" s="242" t="n">
        <x:f>IF(A68&lt;='診断'!$C$11,-PMT('診断'!$B$32/12,'診断'!$C$11*12,'診断'!$C$9)*12,0)</x:f>
        <x:v>1614711.257104202</x:v>
      </x:c>
      <x:c r="F68" s="242" t="n">
        <x:f>D68-E68</x:f>
        <x:v>-1070898.757104202</x:v>
      </x:c>
      <x:c r="G68" s="242" t="n">
        <x:f>F68</x:f>
        <x:v>-1070898.757104202</x:v>
      </x:c>
      <x:c r="H68" s="242" t="n">
        <x:f>MAX(0,-F68)</x:f>
        <x:v>1070898.757104202</x:v>
      </x:c>
      <x:c r="I68" s="242" t="n">
        <x:f>IF(A68&gt;='診断'!$C$11,0,MAX(0,-FV('診断'!$B$32/12,A68*12,PMT('診断'!$B$32/12,'診断'!$C$11*12,'診断'!$C$9),'診断'!$C$9)))</x:f>
        <x:v>35385441.73720078</x:v>
      </x:c>
      <x:c r="J68" s="242" t="n">
        <x:f>'診断'!$C$7*(1+'診断'!$B$35)^A68</x:f>
        <x:v>33950000</x:v>
      </x:c>
      <x:c r="K68" s="242" t="n">
        <x:f>J68*(1-'診断'!$C$24)-'診断'!$C$25-I68</x:f>
        <x:v>-2655791.7372007817</x:v>
      </x:c>
      <x:c r="L68" s="242" t="n">
        <x:f>MAX(E68-MAX('診断'!$C$9-I68,0),0)</x:f>
        <x:v>1000152.9943049836</x:v>
      </x:c>
      <x:c r="M68" s="242" t="n">
        <x:f>IF(OR($AI$20&lt;&gt;"OK",A68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(13-MONTH('診断'!$C$49))/12,MAX('診断'!$C$50*'診断'!$C$53-1,0)))</x:f>
        <x:v>0</x:v>
      </x:c>
      <x:c r="N68" s="242" t="n">
        <x:f>IF(OR($AI$20&lt;&gt;"OK",A68&gt;'診断'!$C$16),0,MIN('診断'!$C$50*(1-'診断'!$C$53)*ROUNDUP(1/MAX(2,ROUNDDOWN(IF('診断'!$C$52&gt;=15,15*20%,(15-'診断'!$C$52)+'診断'!$C$52*20%),0)),3)*(13-MONTH('診断'!$C$49))/12,MAX('診断'!$C$50*(1-'診断'!$C$53)-1,0)))</x:f>
        <x:v>0</x:v>
      </x:c>
      <x:c r="O68" s="242" t="n">
        <x:f>M68+N68</x:f>
        <x:v>0</x:v>
      </x:c>
      <x:c r="P68" s="134" t="n">
        <x:f>B68-C68-L68-O68</x:f>
        <x:v>-456340.49430498364</x:v>
      </x:c>
      <x:c r="Q68" s="134" t="n">
        <x:f>L68*IF('診断'!$C$9&gt;0,$AI$17/'診断'!$C$9,0)</x:f>
        <x:v>972370.9666854008</x:v>
      </x:c>
      <x:c r="R68" s="134" t="n">
        <x:f>IF(P68&gt;=0,P68,MIN(0,P68+Q68))</x:f>
        <x:v>0</x:v>
      </x:c>
      <x:c r="S68" s="134" t="n">
        <x:f>ROUNDDOWN(MAX(($AI$8+R68)-IF(($AI$8+R68)&lt;=4890000,1040000,IF(($AI$8+R68)&lt;=6550000,670000,IF(($AI$8+R68)&lt;=23500000,620000,IF(($AI$8+R68)&lt;=24000000,480000,IF(($AI$8+R68)&lt;=24500000,320000,IF(($AI$8+R68)&lt;=25000000,160000,0))))))-$AI$10,0),-3)</x:f>
        <x:v>5930000</x:v>
      </x:c>
      <x:c r="T68" s="134" t="n">
        <x:f>ROUNDDOWN(MAX(IF(S68&lt;=1949000,S68*5%,IF(S68&lt;=3299000,S68*10%-97500,IF(S68&lt;=6949000,S68*20%-427500,IF(S68&lt;=8999000,S68*23%-636000,IF(S68&lt;=17999000,S68*33%-1536000,IF(S68&lt;=39999000,S68*40%-2796000,S68*45%-4796000)))))),0),-2)+ROUNDDOWN(ROUNDDOWN(MAX(IF(S68&lt;=1949000,S68*5%,IF(S68&lt;=3299000,S68*10%-97500,IF(S68&lt;=6949000,S68*20%-427500,IF(S68&lt;=8999000,S68*23%-636000,IF(S68&lt;=17999000,S68*33%-1536000,IF(S68&lt;=39999000,S68*40%-2796000,S68*45%-4796000)))))),0),-2)*2.1%,0)</x:f>
        <x:v>774428</x:v>
      </x:c>
      <x:c r="U68" s="134" t="n">
        <x:f>ROUNDDOWN(MAX(($AI$8+R68)-IF(($AI$8+R68)&lt;=24000000,430000,IF(($AI$8+R68)&lt;=24500000,290000,IF(($AI$8+R68)&lt;=25000000,150000,0)))-$AI$10,0),-3)</x:f>
        <x:v>6120000</x:v>
      </x:c>
      <x:c r="V68" s="134" t="n">
        <x:f>ROUNDDOWN(U68*10%,0)+5000</x:f>
        <x:v>617000</x:v>
      </x:c>
      <x:c r="W68" s="134" t="n">
        <x:f>IF($AI$20="OK",$AI$16-(T68+V68),0)</x:f>
        <x:v>0</x:v>
      </x:c>
      <x:c r="X68" s="134" t="n">
        <x:f>F68+W68</x:f>
        <x:v>-1070898.757104202</x:v>
      </x:c>
      <x:c r="Y68" s="134" t="n">
        <x:f>X68</x:f>
        <x:v>-1070898.757104202</x:v>
      </x:c>
      <x:c r="Z68" s="134" t="n">
        <x:f>MAX('診断'!$C$50*'診断'!$C$53-M68,0)</x:f>
        <x:v>0</x:v>
      </x:c>
      <x:c r="AA68" s="134" t="n">
        <x:f>MAX('診断'!$C$50*(1-'診断'!$C$53)-N68,0)</x:f>
        <x:v>0</x:v>
      </x:c>
      <x:c r="AB68" s="134" t="n">
        <x:f>MAX('診断'!$C$7-'診断'!$C$50,0)+Z68+AA68+'診断'!$C$57</x:f>
        <x:v>35000000</x:v>
      </x:c>
      <x:c r="AC68" s="134" t="n">
        <x:f>MAX(J68-AB68-(J68*'診断'!$C$24+'診断'!$C$25)-'診断'!$C$58,0)</x:f>
        <x:v>0</x:v>
      </x:c>
      <x:c r="AD68" s="134" t="n">
        <x:f>IF($AI$20&lt;&gt;"OK",0,AC68*IF(AG68="長期",15%+5%+15%*2.1%,30%+9%+30%*2.1%))</x:f>
        <x:v>0</x:v>
      </x:c>
      <x:c r="AE68" s="134" t="n">
        <x:f>J68-(J68*'診断'!$C$24+'診断'!$C$25)-I68-AD68</x:f>
        <x:v>-2655791.7372007817</x:v>
      </x:c>
      <x:c r="AF68" s="134" t="n">
        <x:f>Y68+AE68-MAX(0,'診断'!$C$7+'診断'!$C$8-'診断'!$C$9)</x:f>
        <x:v>-4226690.494304984</x:v>
      </x:c>
      <x:c r="AG68" s="406" t="str">
        <x:f>IF('診断'!$C$49&lt;DATE(YEAR('診断'!$C$49)+A68-1-5,1,1),"長期","短期")</x:f>
        <x:v>短期</x:v>
      </x:c>
    </x:row>
    <x:row r="69" ht="20" customHeight="1">
      <x:c r="A69" s="197" t="n">
        <x:v>2</x:v>
      </x:c>
      <x:c r="B69" s="242" t="n">
        <x:f>'診断'!$C$12*12*'診断'!$B$30*'診断'!$B$31*(1-'診断'!$C$19)^(A69-1)</x:f>
        <x:v>1187433</x:v>
      </x:c>
      <x:c r="C69" s="242" t="n">
        <x:f>(('診断'!$C$13+'診断'!$C$14)*12+'診断'!$C$21+'診断'!$C$22+B69*'診断'!$C$15)*'診断'!$B$33+'診断'!$C$23*'診断'!$B$34</x:f>
        <x:v>649214.5625</x:v>
      </x:c>
      <x:c r="D69" s="242" t="n">
        <x:f>B69-C69</x:f>
        <x:v>538218.4375</x:v>
      </x:c>
      <x:c r="E69" s="242" t="n">
        <x:f>IF(A69&lt;='診断'!$C$11,-PMT('診断'!$B$32/12,'診断'!$C$11*12,'診断'!$C$9)*12,0)</x:f>
        <x:v>1614711.257104202</x:v>
      </x:c>
      <x:c r="F69" s="242" t="n">
        <x:f>D69-E69</x:f>
        <x:v>-1076492.819604202</x:v>
      </x:c>
      <x:c r="G69" s="242" t="n">
        <x:f>G68+F69</x:f>
        <x:v>-2147391.576708404</x:v>
      </x:c>
      <x:c r="H69" s="242" t="n">
        <x:f>H68+MAX(0,-F69)</x:f>
        <x:v>2147391.576708404</x:v>
      </x:c>
      <x:c r="I69" s="242" t="n">
        <x:f>IF(A69&gt;='診断'!$C$11,0,MAX(0,-FV('診断'!$B$32/12,A69*12,PMT('診断'!$B$32/12,'診断'!$C$11*12,'診断'!$C$9),'診断'!$C$9)))</x:f>
        <x:v>34753453.28514653</x:v>
      </x:c>
      <x:c r="J69" s="242" t="n">
        <x:f>'診断'!$C$7*(1+'診断'!$B$35)^A69</x:f>
        <x:v>32931500</x:v>
      </x:c>
      <x:c r="K69" s="242" t="n">
        <x:f>J69*(1-'診断'!$C$24)-'診断'!$C$25-I69</x:f>
        <x:v>-3008692.785146527</x:v>
      </x:c>
      <x:c r="L69" s="242" t="n">
        <x:f>MAX(E69-MAX(I68-I69,0),0)</x:f>
        <x:v>982722.8050499472</x:v>
      </x:c>
      <x:c r="M69" s="242" t="n">
        <x:f>IF(OR($AI$20&lt;&gt;"OK",A69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68-1,0)))</x:f>
        <x:v>0</x:v>
      </x:c>
      <x:c r="N69" s="242" t="n">
        <x:f>IF(OR($AI$20&lt;&gt;"OK",A69&gt;'診断'!$C$16),0,MIN('診断'!$C$50*(1-'診断'!$C$53)*ROUNDUP(1/MAX(2,ROUNDDOWN(IF('診断'!$C$52&gt;=15,15*20%,(15-'診断'!$C$52)+'診断'!$C$52*20%),0)),3)*(12)/12,MAX(AA68-1,0)))</x:f>
        <x:v>0</x:v>
      </x:c>
      <x:c r="O69" s="242" t="n">
        <x:f>M69+N69</x:f>
        <x:v>0</x:v>
      </x:c>
      <x:c r="P69" s="134" t="n">
        <x:f>B69-C69-L69-O69</x:f>
        <x:v>-444504.36754994723</x:v>
      </x:c>
      <x:c r="Q69" s="134" t="n">
        <x:f>L69*IF('診断'!$C$9&gt;0,$AI$17/'診断'!$C$9,0)</x:f>
        <x:v>955424.9493541154</x:v>
      </x:c>
      <x:c r="R69" s="134" t="n">
        <x:f>IF(P69&gt;=0,P69,MIN(0,P69+Q69))</x:f>
        <x:v>0</x:v>
      </x:c>
      <x:c r="S69" s="134" t="n">
        <x:f>ROUNDDOWN(MAX(($AI$8+R69)-IF(($AI$8+R69)&lt;=4890000,1040000,IF(($AI$8+R69)&lt;=6550000,670000,IF(($AI$8+R69)&lt;=23500000,620000,IF(($AI$8+R69)&lt;=24000000,480000,IF(($AI$8+R69)&lt;=24500000,320000,IF(($AI$8+R69)&lt;=25000000,160000,0))))))-$AI$10,0),-3)</x:f>
        <x:v>5930000</x:v>
      </x:c>
      <x:c r="T69" s="134" t="n">
        <x:f>ROUNDDOWN(MAX(IF(S69&lt;=1949000,S69*5%,IF(S69&lt;=3299000,S69*10%-97500,IF(S69&lt;=6949000,S69*20%-427500,IF(S69&lt;=8999000,S69*23%-636000,IF(S69&lt;=17999000,S69*33%-1536000,IF(S69&lt;=39999000,S69*40%-2796000,S69*45%-4796000)))))),0),-2)+ROUNDDOWN(ROUNDDOWN(MAX(IF(S69&lt;=1949000,S69*5%,IF(S69&lt;=3299000,S69*10%-97500,IF(S69&lt;=6949000,S69*20%-427500,IF(S69&lt;=8999000,S69*23%-636000,IF(S69&lt;=17999000,S69*33%-1536000,IF(S69&lt;=39999000,S69*40%-2796000,S69*45%-4796000)))))),0),-2)*2.1%,0)</x:f>
        <x:v>774428</x:v>
      </x:c>
      <x:c r="U69" s="134" t="n">
        <x:f>ROUNDDOWN(MAX(($AI$8+R69)-IF(($AI$8+R69)&lt;=24000000,430000,IF(($AI$8+R69)&lt;=24500000,290000,IF(($AI$8+R69)&lt;=25000000,150000,0)))-$AI$10,0),-3)</x:f>
        <x:v>6120000</x:v>
      </x:c>
      <x:c r="V69" s="134" t="n">
        <x:f>ROUNDDOWN(U69*10%,0)+5000</x:f>
        <x:v>617000</x:v>
      </x:c>
      <x:c r="W69" s="134" t="n">
        <x:f>IF($AI$20="OK",$AI$16-(T69+V69),0)</x:f>
        <x:v>0</x:v>
      </x:c>
      <x:c r="X69" s="134" t="n">
        <x:f>F69+W69</x:f>
        <x:v>-1076492.819604202</x:v>
      </x:c>
      <x:c r="Y69" s="134" t="n">
        <x:f>Y68+X69</x:f>
        <x:v>-2147391.576708404</x:v>
      </x:c>
      <x:c r="Z69" s="134" t="n">
        <x:f>MAX(Z68-M69,0)</x:f>
        <x:v>0</x:v>
      </x:c>
      <x:c r="AA69" s="134" t="n">
        <x:f>MAX(AA68-N69,0)</x:f>
        <x:v>0</x:v>
      </x:c>
      <x:c r="AB69" s="134" t="n">
        <x:f>MAX('診断'!$C$7-'診断'!$C$50,0)+Z69+AA69+'診断'!$C$57</x:f>
        <x:v>35000000</x:v>
      </x:c>
      <x:c r="AC69" s="134" t="n">
        <x:f>MAX(J69-AB69-(J69*'診断'!$C$24+'診断'!$C$25)-'診断'!$C$58,0)</x:f>
        <x:v>0</x:v>
      </x:c>
      <x:c r="AD69" s="134" t="n">
        <x:f>IF($AI$20&lt;&gt;"OK",0,AC69*IF(AG69="長期",15%+5%+15%*2.1%,30%+9%+30%*2.1%))</x:f>
        <x:v>0</x:v>
      </x:c>
      <x:c r="AE69" s="134" t="n">
        <x:f>J69-(J69*'診断'!$C$24+'診断'!$C$25)-I69-AD69</x:f>
        <x:v>-3008692.785146527</x:v>
      </x:c>
      <x:c r="AF69" s="134" t="n">
        <x:f>Y69+AE69-MAX(0,'診断'!$C$7+'診断'!$C$8-'診断'!$C$9)</x:f>
        <x:v>-5656084.361854931</x:v>
      </x:c>
      <x:c r="AG69" s="406" t="str">
        <x:f>IF('診断'!$C$49&lt;DATE(YEAR('診断'!$C$49)+A69-1-5,1,1),"長期","短期")</x:f>
        <x:v>短期</x:v>
      </x:c>
    </x:row>
    <x:row r="70" ht="20" customHeight="1">
      <x:c r="A70" s="197" t="n">
        <x:v>3</x:v>
      </x:c>
      <x:c r="B70" s="242" t="n">
        <x:f>'診断'!$C$12*12*'診断'!$B$30*'診断'!$B$31*(1-'診断'!$C$19)^(A70-1)</x:f>
        <x:v>1181495.835</x:v>
      </x:c>
      <x:c r="C70" s="242" t="n">
        <x:f>(('診断'!$C$13+'診断'!$C$14)*12+'診断'!$C$21+'診断'!$C$22+B70*'診断'!$C$15)*'診断'!$B$33+'診断'!$C$23*'診断'!$B$34</x:f>
        <x:v>648843.4896874999</x:v>
      </x:c>
      <x:c r="D70" s="242" t="n">
        <x:f>B70-C70</x:f>
        <x:v>532652.3453125</x:v>
      </x:c>
      <x:c r="E70" s="242" t="n">
        <x:f>IF(A70&lt;='診断'!$C$11,-PMT('診断'!$B$32/12,'診断'!$C$11*12,'診断'!$C$9)*12,0)</x:f>
        <x:v>1614711.257104202</x:v>
      </x:c>
      <x:c r="F70" s="242" t="n">
        <x:f>D70-E70</x:f>
        <x:v>-1082058.9117917018</x:v>
      </x:c>
      <x:c r="G70" s="242" t="n">
        <x:f>G69+F70</x:f>
        <x:v>-3229450.4885001057</x:v>
      </x:c>
      <x:c r="H70" s="242" t="n">
        <x:f>H69+MAX(0,-F70)</x:f>
        <x:v>3229450.4885001057</x:v>
      </x:c>
      <x:c r="I70" s="242" t="n">
        <x:f>IF(A70&gt;='診断'!$C$11,0,MAX(0,-FV('診断'!$B$32/12,A70*12,PMT('診断'!$B$32/12,'診断'!$C$11*12,'診断'!$C$9),'診断'!$C$9)))</x:f>
        <x:v>34103540.28631922</x:v>
      </x:c>
      <x:c r="J70" s="242" t="n">
        <x:f>'診断'!$C$7*(1+'診断'!$B$35)^A70</x:f>
        <x:v>31943555</x:v>
      </x:c>
      <x:c r="K70" s="242" t="n">
        <x:f>J70*(1-'診断'!$C$24)-'診断'!$C$25-I70</x:f>
        <x:v>-3314122.60131922</x:v>
      </x:c>
      <x:c r="L70" s="242" t="n">
        <x:f>MAX(E70-MAX(I69-I70,0),0)</x:f>
        <x:v>964798.2582768935</x:v>
      </x:c>
      <x:c r="M70" s="242" t="n">
        <x:f>IF(OR($AI$20&lt;&gt;"OK",A70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69-1,0)))</x:f>
        <x:v>0</x:v>
      </x:c>
      <x:c r="N70" s="242" t="n">
        <x:f>IF(OR($AI$20&lt;&gt;"OK",A70&gt;'診断'!$C$16),0,MIN('診断'!$C$50*(1-'診断'!$C$53)*ROUNDUP(1/MAX(2,ROUNDDOWN(IF('診断'!$C$52&gt;=15,15*20%,(15-'診断'!$C$52)+'診断'!$C$52*20%),0)),3)*(12)/12,MAX(AA69-1,0)))</x:f>
        <x:v>0</x:v>
      </x:c>
      <x:c r="O70" s="242" t="n">
        <x:f>M70+N70</x:f>
        <x:v>0</x:v>
      </x:c>
      <x:c r="P70" s="134" t="n">
        <x:f>B70-C70-L70-O70</x:f>
        <x:v>-432145.9129643935</x:v>
      </x:c>
      <x:c r="Q70" s="134" t="n">
        <x:f>L70*IF('診断'!$C$9&gt;0,$AI$17/'診断'!$C$9,0)</x:f>
        <x:v>937998.3066580909</x:v>
      </x:c>
      <x:c r="R70" s="134" t="n">
        <x:f>IF(P70&gt;=0,P70,MIN(0,P70+Q70))</x:f>
        <x:v>0</x:v>
      </x:c>
      <x:c r="S70" s="134" t="n">
        <x:f>ROUNDDOWN(MAX(($AI$8+R70)-IF(($AI$8+R70)&lt;=4890000,1040000,IF(($AI$8+R70)&lt;=6550000,670000,IF(($AI$8+R70)&lt;=23500000,620000,IF(($AI$8+R70)&lt;=24000000,480000,IF(($AI$8+R70)&lt;=24500000,320000,IF(($AI$8+R70)&lt;=25000000,160000,0))))))-$AI$10,0),-3)</x:f>
        <x:v>5930000</x:v>
      </x:c>
      <x:c r="T70" s="134" t="n">
        <x:f>ROUNDDOWN(MAX(IF(S70&lt;=1949000,S70*5%,IF(S70&lt;=3299000,S70*10%-97500,IF(S70&lt;=6949000,S70*20%-427500,IF(S70&lt;=8999000,S70*23%-636000,IF(S70&lt;=17999000,S70*33%-1536000,IF(S70&lt;=39999000,S70*40%-2796000,S70*45%-4796000)))))),0),-2)+ROUNDDOWN(ROUNDDOWN(MAX(IF(S70&lt;=1949000,S70*5%,IF(S70&lt;=3299000,S70*10%-97500,IF(S70&lt;=6949000,S70*20%-427500,IF(S70&lt;=8999000,S70*23%-636000,IF(S70&lt;=17999000,S70*33%-1536000,IF(S70&lt;=39999000,S70*40%-2796000,S70*45%-4796000)))))),0),-2)*2.1%,0)</x:f>
        <x:v>774428</x:v>
      </x:c>
      <x:c r="U70" s="134" t="n">
        <x:f>ROUNDDOWN(MAX(($AI$8+R70)-IF(($AI$8+R70)&lt;=24000000,430000,IF(($AI$8+R70)&lt;=24500000,290000,IF(($AI$8+R70)&lt;=25000000,150000,0)))-$AI$10,0),-3)</x:f>
        <x:v>6120000</x:v>
      </x:c>
      <x:c r="V70" s="134" t="n">
        <x:f>ROUNDDOWN(U70*10%,0)+5000</x:f>
        <x:v>617000</x:v>
      </x:c>
      <x:c r="W70" s="134" t="n">
        <x:f>IF($AI$20="OK",$AI$16-(T70+V70),0)</x:f>
        <x:v>0</x:v>
      </x:c>
      <x:c r="X70" s="134" t="n">
        <x:f>F70+W70</x:f>
        <x:v>-1082058.9117917018</x:v>
      </x:c>
      <x:c r="Y70" s="134" t="n">
        <x:f>Y69+X70</x:f>
        <x:v>-3229450.4885001057</x:v>
      </x:c>
      <x:c r="Z70" s="134" t="n">
        <x:f>MAX(Z69-M70,0)</x:f>
        <x:v>0</x:v>
      </x:c>
      <x:c r="AA70" s="134" t="n">
        <x:f>MAX(AA69-N70,0)</x:f>
        <x:v>0</x:v>
      </x:c>
      <x:c r="AB70" s="134" t="n">
        <x:f>MAX('診断'!$C$7-'診断'!$C$50,0)+Z70+AA70+'診断'!$C$57</x:f>
        <x:v>35000000</x:v>
      </x:c>
      <x:c r="AC70" s="134" t="n">
        <x:f>MAX(J70-AB70-(J70*'診断'!$C$24+'診断'!$C$25)-'診断'!$C$58,0)</x:f>
        <x:v>0</x:v>
      </x:c>
      <x:c r="AD70" s="134" t="n">
        <x:f>IF($AI$20&lt;&gt;"OK",0,AC70*IF(AG70="長期",15%+5%+15%*2.1%,30%+9%+30%*2.1%))</x:f>
        <x:v>0</x:v>
      </x:c>
      <x:c r="AE70" s="134" t="n">
        <x:f>J70-(J70*'診断'!$C$24+'診断'!$C$25)-I70-AD70</x:f>
        <x:v>-3314122.60131922</x:v>
      </x:c>
      <x:c r="AF70" s="134" t="n">
        <x:f>Y70+AE70-MAX(0,'診断'!$C$7+'診断'!$C$8-'診断'!$C$9)</x:f>
        <x:v>-7043573.089819325</x:v>
      </x:c>
      <x:c r="AG70" s="406" t="str">
        <x:f>IF('診断'!$C$49&lt;DATE(YEAR('診断'!$C$49)+A70-1-5,1,1),"長期","短期")</x:f>
        <x:v>短期</x:v>
      </x:c>
    </x:row>
    <x:row r="71" ht="20" customHeight="1">
      <x:c r="A71" s="197" t="n">
        <x:v>4</x:v>
      </x:c>
      <x:c r="B71" s="242" t="n">
        <x:f>'診断'!$C$12*12*'診断'!$B$30*'診断'!$B$31*(1-'診断'!$C$19)^(A71-1)</x:f>
        <x:v>1175588.355825</x:v>
      </x:c>
      <x:c r="C71" s="242" t="n">
        <x:f>(('診断'!$C$13+'診断'!$C$14)*12+'診断'!$C$21+'診断'!$C$22+B71*'診断'!$C$15)*'診断'!$B$33+'診断'!$C$23*'診断'!$B$34</x:f>
        <x:v>648474.2722390625</x:v>
      </x:c>
      <x:c r="D71" s="242" t="n">
        <x:f>B71-C71</x:f>
        <x:v>527114.0835859375</x:v>
      </x:c>
      <x:c r="E71" s="242" t="n">
        <x:f>IF(A71&lt;='診断'!$C$11,-PMT('診断'!$B$32/12,'診断'!$C$11*12,'診断'!$C$9)*12,0)</x:f>
        <x:v>1614711.257104202</x:v>
      </x:c>
      <x:c r="F71" s="242" t="n">
        <x:f>D71-E71</x:f>
        <x:v>-1087597.1735182644</x:v>
      </x:c>
      <x:c r="G71" s="242" t="n">
        <x:f>G70+F71</x:f>
        <x:v>-4317047.66201837</x:v>
      </x:c>
      <x:c r="H71" s="242" t="n">
        <x:f>H70+MAX(0,-F71)</x:f>
        <x:v>4317047.66201837</x:v>
      </x:c>
      <x:c r="I71" s="242" t="n">
        <x:f>IF(A71&gt;='診断'!$C$11,0,MAX(0,-FV('診断'!$B$32/12,A71*12,PMT('診断'!$B$32/12,'診断'!$C$11*12,'診断'!$C$9),'診断'!$C$9)))</x:f>
        <x:v>33435194.362162292</x:v>
      </x:c>
      <x:c r="J71" s="242" t="n">
        <x:f>'診断'!$C$7*(1+'診断'!$B$35)^A71</x:f>
        <x:v>30985248.349999998</x:v>
      </x:c>
      <x:c r="K71" s="242" t="n">
        <x:f>J71*(1-'診断'!$C$24)-'診断'!$C$25-I71</x:f>
        <x:v>-3572459.2077122964</x:v>
      </x:c>
      <x:c r="L71" s="242" t="n">
        <x:f>MAX(E71-MAX(I70-I71,0),0)</x:f>
        <x:v>946365.3329472754</x:v>
      </x:c>
      <x:c r="M71" s="242" t="n">
        <x:f>IF(OR($AI$20&lt;&gt;"OK",A71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70-1,0)))</x:f>
        <x:v>0</x:v>
      </x:c>
      <x:c r="N71" s="242" t="n">
        <x:f>IF(OR($AI$20&lt;&gt;"OK",A71&gt;'診断'!$C$16),0,MIN('診断'!$C$50*(1-'診断'!$C$53)*ROUNDUP(1/MAX(2,ROUNDDOWN(IF('診断'!$C$52&gt;=15,15*20%,(15-'診断'!$C$52)+'診断'!$C$52*20%),0)),3)*(12)/12,MAX(AA70-1,0)))</x:f>
        <x:v>0</x:v>
      </x:c>
      <x:c r="O71" s="242" t="n">
        <x:f>M71+N71</x:f>
        <x:v>0</x:v>
      </x:c>
      <x:c r="P71" s="134" t="n">
        <x:f>B71-C71-L71-O71</x:f>
        <x:v>-419251.24936133786</x:v>
      </x:c>
      <x:c r="Q71" s="134" t="n">
        <x:f>L71*IF('診断'!$C$9&gt;0,$AI$17/'診断'!$C$9,0)</x:f>
        <x:v>920077.4070320732</x:v>
      </x:c>
      <x:c r="R71" s="134" t="n">
        <x:f>IF(P71&gt;=0,P71,MIN(0,P71+Q71))</x:f>
        <x:v>0</x:v>
      </x:c>
      <x:c r="S71" s="134" t="n">
        <x:f>ROUNDDOWN(MAX(($AI$8+R71)-IF(($AI$8+R71)&lt;=4890000,1040000,IF(($AI$8+R71)&lt;=6550000,670000,IF(($AI$8+R71)&lt;=23500000,620000,IF(($AI$8+R71)&lt;=24000000,480000,IF(($AI$8+R71)&lt;=24500000,320000,IF(($AI$8+R71)&lt;=25000000,160000,0))))))-$AI$10,0),-3)</x:f>
        <x:v>5930000</x:v>
      </x:c>
      <x:c r="T71" s="134" t="n">
        <x:f>ROUNDDOWN(MAX(IF(S71&lt;=1949000,S71*5%,IF(S71&lt;=3299000,S71*10%-97500,IF(S71&lt;=6949000,S71*20%-427500,IF(S71&lt;=8999000,S71*23%-636000,IF(S71&lt;=17999000,S71*33%-1536000,IF(S71&lt;=39999000,S71*40%-2796000,S71*45%-4796000)))))),0),-2)+ROUNDDOWN(ROUNDDOWN(MAX(IF(S71&lt;=1949000,S71*5%,IF(S71&lt;=3299000,S71*10%-97500,IF(S71&lt;=6949000,S71*20%-427500,IF(S71&lt;=8999000,S71*23%-636000,IF(S71&lt;=17999000,S71*33%-1536000,IF(S71&lt;=39999000,S71*40%-2796000,S71*45%-4796000)))))),0),-2)*2.1%,0)</x:f>
        <x:v>774428</x:v>
      </x:c>
      <x:c r="U71" s="134" t="n">
        <x:f>ROUNDDOWN(MAX(($AI$8+R71)-IF(($AI$8+R71)&lt;=24000000,430000,IF(($AI$8+R71)&lt;=24500000,290000,IF(($AI$8+R71)&lt;=25000000,150000,0)))-$AI$10,0),-3)</x:f>
        <x:v>6120000</x:v>
      </x:c>
      <x:c r="V71" s="134" t="n">
        <x:f>ROUNDDOWN(U71*10%,0)+5000</x:f>
        <x:v>617000</x:v>
      </x:c>
      <x:c r="W71" s="134" t="n">
        <x:f>IF($AI$20="OK",$AI$16-(T71+V71),0)</x:f>
        <x:v>0</x:v>
      </x:c>
      <x:c r="X71" s="134" t="n">
        <x:f>F71+W71</x:f>
        <x:v>-1087597.1735182644</x:v>
      </x:c>
      <x:c r="Y71" s="134" t="n">
        <x:f>Y70+X71</x:f>
        <x:v>-4317047.66201837</x:v>
      </x:c>
      <x:c r="Z71" s="134" t="n">
        <x:f>MAX(Z70-M71,0)</x:f>
        <x:v>0</x:v>
      </x:c>
      <x:c r="AA71" s="134" t="n">
        <x:f>MAX(AA70-N71,0)</x:f>
        <x:v>0</x:v>
      </x:c>
      <x:c r="AB71" s="134" t="n">
        <x:f>MAX('診断'!$C$7-'診断'!$C$50,0)+Z71+AA71+'診断'!$C$57</x:f>
        <x:v>35000000</x:v>
      </x:c>
      <x:c r="AC71" s="134" t="n">
        <x:f>MAX(J71-AB71-(J71*'診断'!$C$24+'診断'!$C$25)-'診断'!$C$58,0)</x:f>
        <x:v>0</x:v>
      </x:c>
      <x:c r="AD71" s="134" t="n">
        <x:f>IF($AI$20&lt;&gt;"OK",0,AC71*IF(AG71="長期",15%+5%+15%*2.1%,30%+9%+30%*2.1%))</x:f>
        <x:v>0</x:v>
      </x:c>
      <x:c r="AE71" s="134" t="n">
        <x:f>J71-(J71*'診断'!$C$24+'診断'!$C$25)-I71-AD71</x:f>
        <x:v>-3572459.2077122927</x:v>
      </x:c>
      <x:c r="AF71" s="134" t="n">
        <x:f>Y71+AE71-MAX(0,'診断'!$C$7+'診断'!$C$8-'診断'!$C$9)</x:f>
        <x:v>-8389506.869730663</x:v>
      </x:c>
      <x:c r="AG71" s="406" t="str">
        <x:f>IF('診断'!$C$49&lt;DATE(YEAR('診断'!$C$49)+A71-1-5,1,1),"長期","短期")</x:f>
        <x:v>短期</x:v>
      </x:c>
    </x:row>
    <x:row r="72" ht="20" customHeight="1">
      <x:c r="A72" s="197" t="n">
        <x:v>5</x:v>
      </x:c>
      <x:c r="B72" s="242" t="n">
        <x:f>'診断'!$C$12*12*'診断'!$B$30*'診断'!$B$31*(1-'診断'!$C$19)^(A72-1)</x:f>
        <x:v>1169710.414045875</x:v>
      </x:c>
      <x:c r="C72" s="242" t="n">
        <x:f>(('診断'!$C$13+'診断'!$C$14)*12+'診断'!$C$21+'診断'!$C$22+B72*'診断'!$C$15)*'診断'!$B$33+'診断'!$C$23*'診断'!$B$34</x:f>
        <x:v>648106.9008778671</x:v>
      </x:c>
      <x:c r="D72" s="242" t="n">
        <x:f>B72-C72</x:f>
        <x:v>521603.51316800783</x:v>
      </x:c>
      <x:c r="E72" s="242" t="n">
        <x:f>IF(A72&lt;='診断'!$C$11,-PMT('診断'!$B$32/12,'診断'!$C$11*12,'診断'!$C$9)*12,0)</x:f>
        <x:v>1614711.257104202</x:v>
      </x:c>
      <x:c r="F72" s="242" t="n">
        <x:f>D72-E72</x:f>
        <x:v>-1093107.743936194</x:v>
      </x:c>
      <x:c r="G72" s="242" t="n">
        <x:f>G71+F72</x:f>
        <x:v>-5410155.405954564</x:v>
      </x:c>
      <x:c r="H72" s="242" t="n">
        <x:f>H71+MAX(0,-F72)</x:f>
        <x:v>5410155.405954564</x:v>
      </x:c>
      <x:c r="I72" s="242" t="n">
        <x:f>IF(A72&gt;='診断'!$C$11,0,MAX(0,-FV('診断'!$B$32/12,A72*12,PMT('診断'!$B$32/12,'診断'!$C$11*12,'診断'!$C$9),'診断'!$C$9)))</x:f>
        <x:v>32747892.715413935</x:v>
      </x:c>
      <x:c r="J72" s="242" t="n">
        <x:f>'診断'!$C$7*(1+'診断'!$B$35)^A72</x:f>
        <x:v>30055690.899499997</x:v>
      </x:c>
      <x:c r="K72" s="242" t="n">
        <x:f>J72*(1-'診断'!$C$24)-'診断'!$C$25-I72</x:f>
        <x:v>-3784039.615597438</x:v>
      </x:c>
      <x:c r="L72" s="242" t="n">
        <x:f>MAX(E72-MAX(I71-I72,0),0)</x:f>
        <x:v>927409.6103558454</x:v>
      </x:c>
      <x:c r="M72" s="242" t="n">
        <x:f>IF(OR($AI$20&lt;&gt;"OK",A72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71-1,0)))</x:f>
        <x:v>0</x:v>
      </x:c>
      <x:c r="N72" s="242" t="n">
        <x:f>IF(OR($AI$20&lt;&gt;"OK",A72&gt;'診断'!$C$16),0,MIN('診断'!$C$50*(1-'診断'!$C$53)*ROUNDUP(1/MAX(2,ROUNDDOWN(IF('診断'!$C$52&gt;=15,15*20%,(15-'診断'!$C$52)+'診断'!$C$52*20%),0)),3)*(12)/12,MAX(AA71-1,0)))</x:f>
        <x:v>0</x:v>
      </x:c>
      <x:c r="O72" s="242" t="n">
        <x:f>M72+N72</x:f>
        <x:v>0</x:v>
      </x:c>
      <x:c r="P72" s="134" t="n">
        <x:f>B72-C72-L72-O72</x:f>
        <x:v>-405806.0971878376</x:v>
      </x:c>
      <x:c r="Q72" s="134" t="n">
        <x:f>L72*IF('診断'!$C$9&gt;0,$AI$17/'診断'!$C$9,0)</x:f>
        <x:v>901648.2322904053</x:v>
      </x:c>
      <x:c r="R72" s="134" t="n">
        <x:f>IF(P72&gt;=0,P72,MIN(0,P72+Q72))</x:f>
        <x:v>0</x:v>
      </x:c>
      <x:c r="S72" s="134" t="n">
        <x:f>ROUNDDOWN(MAX(($AI$8+R72)-IF(($AI$8+R72)&lt;=4890000,1040000,IF(($AI$8+R72)&lt;=6550000,670000,IF(($AI$8+R72)&lt;=23500000,620000,IF(($AI$8+R72)&lt;=24000000,480000,IF(($AI$8+R72)&lt;=24500000,320000,IF(($AI$8+R72)&lt;=25000000,160000,0))))))-$AI$10,0),-3)</x:f>
        <x:v>5930000</x:v>
      </x:c>
      <x:c r="T72" s="134" t="n">
        <x:f>ROUNDDOWN(MAX(IF(S72&lt;=1949000,S72*5%,IF(S72&lt;=3299000,S72*10%-97500,IF(S72&lt;=6949000,S72*20%-427500,IF(S72&lt;=8999000,S72*23%-636000,IF(S72&lt;=17999000,S72*33%-1536000,IF(S72&lt;=39999000,S72*40%-2796000,S72*45%-4796000)))))),0),-2)+ROUNDDOWN(ROUNDDOWN(MAX(IF(S72&lt;=1949000,S72*5%,IF(S72&lt;=3299000,S72*10%-97500,IF(S72&lt;=6949000,S72*20%-427500,IF(S72&lt;=8999000,S72*23%-636000,IF(S72&lt;=17999000,S72*33%-1536000,IF(S72&lt;=39999000,S72*40%-2796000,S72*45%-4796000)))))),0),-2)*2.1%,0)</x:f>
        <x:v>774428</x:v>
      </x:c>
      <x:c r="U72" s="134" t="n">
        <x:f>ROUNDDOWN(MAX(($AI$8+R72)-IF(($AI$8+R72)&lt;=24000000,430000,IF(($AI$8+R72)&lt;=24500000,290000,IF(($AI$8+R72)&lt;=25000000,150000,0)))-$AI$10,0),-3)</x:f>
        <x:v>6120000</x:v>
      </x:c>
      <x:c r="V72" s="134" t="n">
        <x:f>ROUNDDOWN(U72*10%,0)+5000</x:f>
        <x:v>617000</x:v>
      </x:c>
      <x:c r="W72" s="134" t="n">
        <x:f>IF($AI$20="OK",$AI$16-(T72+V72),0)</x:f>
        <x:v>0</x:v>
      </x:c>
      <x:c r="X72" s="134" t="n">
        <x:f>F72+W72</x:f>
        <x:v>-1093107.743936194</x:v>
      </x:c>
      <x:c r="Y72" s="134" t="n">
        <x:f>Y71+X72</x:f>
        <x:v>-5410155.405954564</x:v>
      </x:c>
      <x:c r="Z72" s="134" t="n">
        <x:f>MAX(Z71-M72,0)</x:f>
        <x:v>0</x:v>
      </x:c>
      <x:c r="AA72" s="134" t="n">
        <x:f>MAX(AA71-N72,0)</x:f>
        <x:v>0</x:v>
      </x:c>
      <x:c r="AB72" s="134" t="n">
        <x:f>MAX('診断'!$C$7-'診断'!$C$50,0)+Z72+AA72+'診断'!$C$57</x:f>
        <x:v>35000000</x:v>
      </x:c>
      <x:c r="AC72" s="134" t="n">
        <x:f>MAX(J72-AB72-(J72*'診断'!$C$24+'診断'!$C$25)-'診断'!$C$58,0)</x:f>
        <x:v>0</x:v>
      </x:c>
      <x:c r="AD72" s="134" t="n">
        <x:f>IF($AI$20&lt;&gt;"OK",0,AC72*IF(AG72="長期",15%+5%+15%*2.1%,30%+9%+30%*2.1%))</x:f>
        <x:v>0</x:v>
      </x:c>
      <x:c r="AE72" s="134" t="n">
        <x:f>J72-(J72*'診断'!$C$24+'診断'!$C$25)-I72-AD72</x:f>
        <x:v>-3784039.615597438</x:v>
      </x:c>
      <x:c r="AF72" s="134" t="n">
        <x:f>Y72+AE72-MAX(0,'診断'!$C$7+'診断'!$C$8-'診断'!$C$9)</x:f>
        <x:v>-9694195.021552002</x:v>
      </x:c>
      <x:c r="AG72" s="406" t="str">
        <x:f>IF('診断'!$C$49&lt;DATE(YEAR('診断'!$C$49)+A72-1-5,1,1),"長期","短期")</x:f>
        <x:v>短期</x:v>
      </x:c>
    </x:row>
    <x:row r="73" ht="20" customHeight="1">
      <x:c r="A73" s="197" t="n">
        <x:v>6</x:v>
      </x:c>
      <x:c r="B73" s="242" t="n">
        <x:f>'診断'!$C$12*12*'診断'!$B$30*'診断'!$B$31*(1-'診断'!$C$19)^(A73-1)</x:f>
        <x:v>1163861.8619756456</x:v>
      </x:c>
      <x:c r="C73" s="242" t="n">
        <x:f>(('診断'!$C$13+'診断'!$C$14)*12+'診断'!$C$21+'診断'!$C$22+B73*'診断'!$C$15)*'診断'!$B$33+'診断'!$C$23*'診断'!$B$34</x:f>
        <x:v>647741.3663734779</x:v>
      </x:c>
      <x:c r="D73" s="242" t="n">
        <x:f>B73-C73</x:f>
        <x:v>516120.4956021678</x:v>
      </x:c>
      <x:c r="E73" s="242" t="n">
        <x:f>IF(A73&lt;='診断'!$C$11,-PMT('診断'!$B$32/12,'診断'!$C$11*12,'診断'!$C$9)*12,0)</x:f>
        <x:v>1614711.257104202</x:v>
      </x:c>
      <x:c r="F73" s="242" t="n">
        <x:f>D73-E73</x:f>
        <x:v>-1098590.761502034</x:v>
      </x:c>
      <x:c r="G73" s="242" t="n">
        <x:f>G72+F73</x:f>
        <x:v>-6508746.167456598</x:v>
      </x:c>
      <x:c r="H73" s="242" t="n">
        <x:f>H72+MAX(0,-F73)</x:f>
        <x:v>6508746.167456598</x:v>
      </x:c>
      <x:c r="I73" s="242" t="n">
        <x:f>IF(A73&gt;='診断'!$C$11,0,MAX(0,-FV('診断'!$B$32/12,A73*12,PMT('診断'!$B$32/12,'診断'!$C$11*12,'診断'!$C$9),'診断'!$C$9)))</x:f>
        <x:v>32041097.721161693</x:v>
      </x:c>
      <x:c r="J73" s="242" t="n">
        <x:f>'診断'!$C$7*(1+'診断'!$B$35)^A73</x:f>
        <x:v>29154020.172514994</x:v>
      </x:c>
      <x:c r="K73" s="242" t="n">
        <x:f>J73*(1-'診断'!$C$24)-'診断'!$C$25-I73</x:f>
        <x:v>-3949160.214339696</x:v>
      </x:c>
      <x:c r="L73" s="242" t="n">
        <x:f>MAX(E73-MAX(I72-I73,0),0)</x:f>
        <x:v>907916.2628519598</x:v>
      </x:c>
      <x:c r="M73" s="242" t="n">
        <x:f>IF(OR($AI$20&lt;&gt;"OK",A73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72-1,0)))</x:f>
        <x:v>0</x:v>
      </x:c>
      <x:c r="N73" s="242" t="n">
        <x:f>IF(OR($AI$20&lt;&gt;"OK",A73&gt;'診断'!$C$16),0,MIN('診断'!$C$50*(1-'診断'!$C$53)*ROUNDUP(1/MAX(2,ROUNDDOWN(IF('診断'!$C$52&gt;=15,15*20%,(15-'診断'!$C$52)+'診断'!$C$52*20%),0)),3)*(12)/12,MAX(AA72-1,0)))</x:f>
        <x:v>0</x:v>
      </x:c>
      <x:c r="O73" s="242" t="n">
        <x:f>M73+N73</x:f>
        <x:v>0</x:v>
      </x:c>
      <x:c r="P73" s="134" t="n">
        <x:f>B73-C73-L73-O73</x:f>
        <x:v>-391795.767249792</x:v>
      </x:c>
      <x:c r="Q73" s="134" t="n">
        <x:f>L73*IF('診断'!$C$9&gt;0,$AI$17/'診断'!$C$9,0)</x:f>
        <x:v>882696.3666616275</x:v>
      </x:c>
      <x:c r="R73" s="134" t="n">
        <x:f>IF(P73&gt;=0,P73,MIN(0,P73+Q73))</x:f>
        <x:v>0</x:v>
      </x:c>
      <x:c r="S73" s="134" t="n">
        <x:f>ROUNDDOWN(MAX(($AI$8+R73)-IF(($AI$8+R73)&lt;=4890000,1040000,IF(($AI$8+R73)&lt;=6550000,670000,IF(($AI$8+R73)&lt;=23500000,620000,IF(($AI$8+R73)&lt;=24000000,480000,IF(($AI$8+R73)&lt;=24500000,320000,IF(($AI$8+R73)&lt;=25000000,160000,0))))))-$AI$10,0),-3)</x:f>
        <x:v>5930000</x:v>
      </x:c>
      <x:c r="T73" s="134" t="n">
        <x:f>ROUNDDOWN(MAX(IF(S73&lt;=1949000,S73*5%,IF(S73&lt;=3299000,S73*10%-97500,IF(S73&lt;=6949000,S73*20%-427500,IF(S73&lt;=8999000,S73*23%-636000,IF(S73&lt;=17999000,S73*33%-1536000,IF(S73&lt;=39999000,S73*40%-2796000,S73*45%-4796000)))))),0),-2)+ROUNDDOWN(ROUNDDOWN(MAX(IF(S73&lt;=1949000,S73*5%,IF(S73&lt;=3299000,S73*10%-97500,IF(S73&lt;=6949000,S73*20%-427500,IF(S73&lt;=8999000,S73*23%-636000,IF(S73&lt;=17999000,S73*33%-1536000,IF(S73&lt;=39999000,S73*40%-2796000,S73*45%-4796000)))))),0),-2)*2.1%,0)</x:f>
        <x:v>774428</x:v>
      </x:c>
      <x:c r="U73" s="134" t="n">
        <x:f>ROUNDDOWN(MAX(($AI$8+R73)-IF(($AI$8+R73)&lt;=24000000,430000,IF(($AI$8+R73)&lt;=24500000,290000,IF(($AI$8+R73)&lt;=25000000,150000,0)))-$AI$10,0),-3)</x:f>
        <x:v>6120000</x:v>
      </x:c>
      <x:c r="V73" s="134" t="n">
        <x:f>ROUNDDOWN(U73*10%,0)+5000</x:f>
        <x:v>617000</x:v>
      </x:c>
      <x:c r="W73" s="134" t="n">
        <x:f>IF($AI$20="OK",$AI$16-(T73+V73),0)</x:f>
        <x:v>0</x:v>
      </x:c>
      <x:c r="X73" s="134" t="n">
        <x:f>F73+W73</x:f>
        <x:v>-1098590.761502034</x:v>
      </x:c>
      <x:c r="Y73" s="134" t="n">
        <x:f>Y72+X73</x:f>
        <x:v>-6508746.167456598</x:v>
      </x:c>
      <x:c r="Z73" s="134" t="n">
        <x:f>MAX(Z72-M73,0)</x:f>
        <x:v>0</x:v>
      </x:c>
      <x:c r="AA73" s="134" t="n">
        <x:f>MAX(AA72-N73,0)</x:f>
        <x:v>0</x:v>
      </x:c>
      <x:c r="AB73" s="134" t="n">
        <x:f>MAX('診断'!$C$7-'診断'!$C$50,0)+Z73+AA73+'診断'!$C$57</x:f>
        <x:v>35000000</x:v>
      </x:c>
      <x:c r="AC73" s="134" t="n">
        <x:f>MAX(J73-AB73-(J73*'診断'!$C$24+'診断'!$C$25)-'診断'!$C$58,0)</x:f>
        <x:v>0</x:v>
      </x:c>
      <x:c r="AD73" s="134" t="n">
        <x:f>IF($AI$20&lt;&gt;"OK",0,AC73*IF(AG73="長期",15%+5%+15%*2.1%,30%+9%+30%*2.1%))</x:f>
        <x:v>0</x:v>
      </x:c>
      <x:c r="AE73" s="134" t="n">
        <x:f>J73-(J73*'診断'!$C$24+'診断'!$C$25)-I73-AD73</x:f>
        <x:v>-3949160.214339696</x:v>
      </x:c>
      <x:c r="AF73" s="134" t="n">
        <x:f>Y73+AE73-MAX(0,'診断'!$C$7+'診断'!$C$8-'診断'!$C$9)</x:f>
        <x:v>-10957906.381796293</x:v>
      </x:c>
      <x:c r="AG73" s="406" t="str">
        <x:f>IF('診断'!$C$49&lt;DATE(YEAR('診断'!$C$49)+A73-1-5,1,1),"長期","短期")</x:f>
        <x:v>短期</x:v>
      </x:c>
    </x:row>
    <x:row r="74" ht="20" customHeight="1">
      <x:c r="A74" s="197" t="n">
        <x:v>7</x:v>
      </x:c>
      <x:c r="B74" s="242" t="n">
        <x:f>'診断'!$C$12*12*'診断'!$B$30*'診断'!$B$31*(1-'診断'!$C$19)^(A74-1)</x:f>
        <x:v>1158042.5526657675</x:v>
      </x:c>
      <x:c r="C74" s="242" t="n">
        <x:f>(('診断'!$C$13+'診断'!$C$14)*12+'診断'!$C$21+'診断'!$C$22+B74*'診断'!$C$15)*'診断'!$B$33+'診断'!$C$23*'診断'!$B$34</x:f>
        <x:v>647377.6595416105</x:v>
      </x:c>
      <x:c r="D74" s="242" t="n">
        <x:f>B74-C74</x:f>
        <x:v>510664.893124157</x:v>
      </x:c>
      <x:c r="E74" s="242" t="n">
        <x:f>IF(A74&lt;='診断'!$C$11,-PMT('診断'!$B$32/12,'診断'!$C$11*12,'診断'!$C$9)*12,0)</x:f>
        <x:v>1614711.257104202</x:v>
      </x:c>
      <x:c r="F74" s="242" t="n">
        <x:f>D74-E74</x:f>
        <x:v>-1104046.363980045</x:v>
      </x:c>
      <x:c r="G74" s="242" t="n">
        <x:f>G73+F74</x:f>
        <x:v>-7612792.531436643</x:v>
      </x:c>
      <x:c r="H74" s="242" t="n">
        <x:f>H73+MAX(0,-F74)</x:f>
        <x:v>7612792.531436643</x:v>
      </x:c>
      <x:c r="I74" s="242" t="n">
        <x:f>IF(A74&gt;='診断'!$C$11,0,MAX(0,-FV('診断'!$B$32/12,A74*12,PMT('診断'!$B$32/12,'診断'!$C$11*12,'診断'!$C$9),'診断'!$C$9)))</x:f>
        <x:v>31314256.506298523</x:v>
      </x:c>
      <x:c r="J74" s="242" t="n">
        <x:f>'診断'!$C$7*(1+'診断'!$B$35)^A74</x:f>
        <x:v>28279399.567339543</x:v>
      </x:c>
      <x:c r="K74" s="242" t="n">
        <x:f>J74*(1-'診断'!$C$24)-'診断'!$C$25-I74</x:f>
        <x:v>-4068077.124681186</x:v>
      </x:c>
      <x:c r="L74" s="242" t="n">
        <x:f>MAX(E74-MAX(I73-I74,0),0)</x:f>
        <x:v>887870.042241032</x:v>
      </x:c>
      <x:c r="M74" s="242" t="n">
        <x:f>IF(OR($AI$20&lt;&gt;"OK",A74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73-1,0)))</x:f>
        <x:v>0</x:v>
      </x:c>
      <x:c r="N74" s="242" t="n">
        <x:f>IF(OR($AI$20&lt;&gt;"OK",A74&gt;'診断'!$C$16),0,MIN('診断'!$C$50*(1-'診断'!$C$53)*ROUNDUP(1/MAX(2,ROUNDDOWN(IF('診断'!$C$52&gt;=15,15*20%,(15-'診断'!$C$52)+'診断'!$C$52*20%),0)),3)*(12)/12,MAX(AA73-1,0)))</x:f>
        <x:v>0</x:v>
      </x:c>
      <x:c r="O74" s="242" t="n">
        <x:f>M74+N74</x:f>
        <x:v>0</x:v>
      </x:c>
      <x:c r="P74" s="134" t="n">
        <x:f>B74-C74-L74-O74</x:f>
        <x:v>-377205.149116875</x:v>
      </x:c>
      <x:c r="Q74" s="134" t="n">
        <x:f>L74*IF('診断'!$C$9&gt;0,$AI$17/'診断'!$C$9,0)</x:f>
        <x:v>863206.9855121145</x:v>
      </x:c>
      <x:c r="R74" s="134" t="n">
        <x:f>IF(P74&gt;=0,P74,MIN(0,P74+Q74))</x:f>
        <x:v>0</x:v>
      </x:c>
      <x:c r="S74" s="134" t="n">
        <x:f>ROUNDDOWN(MAX(($AI$8+R74)-IF(($AI$8+R74)&lt;=4890000,1040000,IF(($AI$8+R74)&lt;=6550000,670000,IF(($AI$8+R74)&lt;=23500000,620000,IF(($AI$8+R74)&lt;=24000000,480000,IF(($AI$8+R74)&lt;=24500000,320000,IF(($AI$8+R74)&lt;=25000000,160000,0))))))-$AI$10,0),-3)</x:f>
        <x:v>5930000</x:v>
      </x:c>
      <x:c r="T74" s="134" t="n">
        <x:f>ROUNDDOWN(MAX(IF(S74&lt;=1949000,S74*5%,IF(S74&lt;=3299000,S74*10%-97500,IF(S74&lt;=6949000,S74*20%-427500,IF(S74&lt;=8999000,S74*23%-636000,IF(S74&lt;=17999000,S74*33%-1536000,IF(S74&lt;=39999000,S74*40%-2796000,S74*45%-4796000)))))),0),-2)+ROUNDDOWN(ROUNDDOWN(MAX(IF(S74&lt;=1949000,S74*5%,IF(S74&lt;=3299000,S74*10%-97500,IF(S74&lt;=6949000,S74*20%-427500,IF(S74&lt;=8999000,S74*23%-636000,IF(S74&lt;=17999000,S74*33%-1536000,IF(S74&lt;=39999000,S74*40%-2796000,S74*45%-4796000)))))),0),-2)*2.1%,0)</x:f>
        <x:v>774428</x:v>
      </x:c>
      <x:c r="U74" s="134" t="n">
        <x:f>ROUNDDOWN(MAX(($AI$8+R74)-IF(($AI$8+R74)&lt;=24000000,430000,IF(($AI$8+R74)&lt;=24500000,290000,IF(($AI$8+R74)&lt;=25000000,150000,0)))-$AI$10,0),-3)</x:f>
        <x:v>6120000</x:v>
      </x:c>
      <x:c r="V74" s="134" t="n">
        <x:f>ROUNDDOWN(U74*10%,0)+5000</x:f>
        <x:v>617000</x:v>
      </x:c>
      <x:c r="W74" s="134" t="n">
        <x:f>IF($AI$20="OK",$AI$16-(T74+V74),0)</x:f>
        <x:v>0</x:v>
      </x:c>
      <x:c r="X74" s="134" t="n">
        <x:f>F74+W74</x:f>
        <x:v>-1104046.363980045</x:v>
      </x:c>
      <x:c r="Y74" s="134" t="n">
        <x:f>Y73+X74</x:f>
        <x:v>-7612792.531436643</x:v>
      </x:c>
      <x:c r="Z74" s="134" t="n">
        <x:f>MAX(Z73-M74,0)</x:f>
        <x:v>0</x:v>
      </x:c>
      <x:c r="AA74" s="134" t="n">
        <x:f>MAX(AA73-N74,0)</x:f>
        <x:v>0</x:v>
      </x:c>
      <x:c r="AB74" s="134" t="n">
        <x:f>MAX('診断'!$C$7-'診断'!$C$50,0)+Z74+AA74+'診断'!$C$57</x:f>
        <x:v>35000000</x:v>
      </x:c>
      <x:c r="AC74" s="134" t="n">
        <x:f>MAX(J74-AB74-(J74*'診断'!$C$24+'診断'!$C$25)-'診断'!$C$58,0)</x:f>
        <x:v>0</x:v>
      </x:c>
      <x:c r="AD74" s="134" t="n">
        <x:f>IF($AI$20&lt;&gt;"OK",0,AC74*IF(AG74="長期",15%+5%+15%*2.1%,30%+9%+30%*2.1%))</x:f>
        <x:v>0</x:v>
      </x:c>
      <x:c r="AE74" s="134" t="n">
        <x:f>J74-(J74*'診断'!$C$24+'診断'!$C$25)-I74-AD74</x:f>
        <x:v>-4068077.124681186</x:v>
      </x:c>
      <x:c r="AF74" s="134" t="n">
        <x:f>Y74+AE74-MAX(0,'診断'!$C$7+'診断'!$C$8-'診断'!$C$9)</x:f>
        <x:v>-12180869.656117829</x:v>
      </x:c>
      <x:c r="AG74" s="406" t="str">
        <x:f>IF('診断'!$C$49&lt;DATE(YEAR('診断'!$C$49)+A74-1-5,1,1),"長期","短期")</x:f>
        <x:v>長期</x:v>
      </x:c>
    </x:row>
    <x:row r="75" ht="20" customHeight="1">
      <x:c r="A75" s="197" t="n">
        <x:v>8</x:v>
      </x:c>
      <x:c r="B75" s="242" t="n">
        <x:f>'診断'!$C$12*12*'診断'!$B$30*'診断'!$B$31*(1-'診断'!$C$19)^(A75-1)</x:f>
        <x:v>1152252.3399024385</x:v>
      </x:c>
      <x:c r="C75" s="242" t="n">
        <x:f>(('診断'!$C$13+'診断'!$C$14)*12+'診断'!$C$21+'診断'!$C$22+B75*'診断'!$C$15)*'診断'!$B$33+'診断'!$C$23*'診断'!$B$34</x:f>
        <x:v>647015.7712439024</x:v>
      </x:c>
      <x:c r="D75" s="242" t="n">
        <x:f>B75-C75</x:f>
        <x:v>505236.56865853607</x:v>
      </x:c>
      <x:c r="E75" s="242" t="n">
        <x:f>IF(A75&lt;='診断'!$C$11,-PMT('診断'!$B$32/12,'診断'!$C$11*12,'診断'!$C$9)*12,0)</x:f>
        <x:v>1614711.257104202</x:v>
      </x:c>
      <x:c r="F75" s="242" t="n">
        <x:f>D75-E75</x:f>
        <x:v>-1109474.6884456659</x:v>
      </x:c>
      <x:c r="G75" s="242" t="n">
        <x:f>G74+F75</x:f>
        <x:v>-8722267.21988231</x:v>
      </x:c>
      <x:c r="H75" s="242" t="n">
        <x:f>H74+MAX(0,-F75)</x:f>
        <x:v>8722267.21988231</x:v>
      </x:c>
      <x:c r="I75" s="242" t="n">
        <x:f>IF(A75&gt;='診断'!$C$11,0,MAX(0,-FV('診断'!$B$32/12,A75*12,PMT('診断'!$B$32/12,'診断'!$C$11*12,'診断'!$C$9),'診断'!$C$9)))</x:f>
        <x:v>30566800.517051347</x:v>
      </x:c>
      <x:c r="J75" s="242" t="n">
        <x:f>'診断'!$C$7*(1+'診断'!$B$35)^A75</x:f>
        <x:v>27431017.580319356</x:v>
      </x:c>
      <x:c r="K75" s="242" t="n">
        <x:f>J75*(1-'診断'!$C$24)-'診断'!$C$25-I75</x:f>
        <x:v>-4141006.5168825313</x:v>
      </x:c>
      <x:c r="L75" s="242" t="n">
        <x:f>MAX(E75-MAX(I74-I75,0),0)</x:f>
        <x:v>867255.2678570251</x:v>
      </x:c>
      <x:c r="M75" s="242" t="n">
        <x:f>IF(OR($AI$20&lt;&gt;"OK",A75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74-1,0)))</x:f>
        <x:v>0</x:v>
      </x:c>
      <x:c r="N75" s="242" t="n">
        <x:f>IF(OR($AI$20&lt;&gt;"OK",A75&gt;'診断'!$C$16),0,MIN('診断'!$C$50*(1-'診断'!$C$53)*ROUNDUP(1/MAX(2,ROUNDDOWN(IF('診断'!$C$52&gt;=15,15*20%,(15-'診断'!$C$52)+'診断'!$C$52*20%),0)),3)*(12)/12,MAX(AA74-1,0)))</x:f>
        <x:v>0</x:v>
      </x:c>
      <x:c r="O75" s="242" t="n">
        <x:f>M75+N75</x:f>
        <x:v>0</x:v>
      </x:c>
      <x:c r="P75" s="134" t="n">
        <x:f>B75-C75-L75-O75</x:f>
        <x:v>-362018.6991984891</x:v>
      </x:c>
      <x:c r="Q75" s="134" t="n">
        <x:f>L75*IF('診断'!$C$9&gt;0,$AI$17/'診断'!$C$9,0)</x:f>
        <x:v>843164.8437498856</x:v>
      </x:c>
      <x:c r="R75" s="134" t="n">
        <x:f>IF(P75&gt;=0,P75,MIN(0,P75+Q75))</x:f>
        <x:v>0</x:v>
      </x:c>
      <x:c r="S75" s="134" t="n">
        <x:f>ROUNDDOWN(MAX(($AI$8+R75)-IF(($AI$8+R75)&lt;=4890000,1040000,IF(($AI$8+R75)&lt;=6550000,670000,IF(($AI$8+R75)&lt;=23500000,620000,IF(($AI$8+R75)&lt;=24000000,480000,IF(($AI$8+R75)&lt;=24500000,320000,IF(($AI$8+R75)&lt;=25000000,160000,0))))))-$AI$10,0),-3)</x:f>
        <x:v>5930000</x:v>
      </x:c>
      <x:c r="T75" s="134" t="n">
        <x:f>ROUNDDOWN(MAX(IF(S75&lt;=1949000,S75*5%,IF(S75&lt;=3299000,S75*10%-97500,IF(S75&lt;=6949000,S75*20%-427500,IF(S75&lt;=8999000,S75*23%-636000,IF(S75&lt;=17999000,S75*33%-1536000,IF(S75&lt;=39999000,S75*40%-2796000,S75*45%-4796000)))))),0),-2)+ROUNDDOWN(ROUNDDOWN(MAX(IF(S75&lt;=1949000,S75*5%,IF(S75&lt;=3299000,S75*10%-97500,IF(S75&lt;=6949000,S75*20%-427500,IF(S75&lt;=8999000,S75*23%-636000,IF(S75&lt;=17999000,S75*33%-1536000,IF(S75&lt;=39999000,S75*40%-2796000,S75*45%-4796000)))))),0),-2)*2.1%,0)</x:f>
        <x:v>774428</x:v>
      </x:c>
      <x:c r="U75" s="134" t="n">
        <x:f>ROUNDDOWN(MAX(($AI$8+R75)-IF(($AI$8+R75)&lt;=24000000,430000,IF(($AI$8+R75)&lt;=24500000,290000,IF(($AI$8+R75)&lt;=25000000,150000,0)))-$AI$10,0),-3)</x:f>
        <x:v>6120000</x:v>
      </x:c>
      <x:c r="V75" s="134" t="n">
        <x:f>ROUNDDOWN(U75*10%,0)+5000</x:f>
        <x:v>617000</x:v>
      </x:c>
      <x:c r="W75" s="134" t="n">
        <x:f>IF($AI$20="OK",$AI$16-(T75+V75),0)</x:f>
        <x:v>0</x:v>
      </x:c>
      <x:c r="X75" s="134" t="n">
        <x:f>F75+W75</x:f>
        <x:v>-1109474.6884456659</x:v>
      </x:c>
      <x:c r="Y75" s="134" t="n">
        <x:f>Y74+X75</x:f>
        <x:v>-8722267.21988231</x:v>
      </x:c>
      <x:c r="Z75" s="134" t="n">
        <x:f>MAX(Z74-M75,0)</x:f>
        <x:v>0</x:v>
      </x:c>
      <x:c r="AA75" s="134" t="n">
        <x:f>MAX(AA74-N75,0)</x:f>
        <x:v>0</x:v>
      </x:c>
      <x:c r="AB75" s="134" t="n">
        <x:f>MAX('診断'!$C$7-'診断'!$C$50,0)+Z75+AA75+'診断'!$C$57</x:f>
        <x:v>35000000</x:v>
      </x:c>
      <x:c r="AC75" s="134" t="n">
        <x:f>MAX(J75-AB75-(J75*'診断'!$C$24+'診断'!$C$25)-'診断'!$C$58,0)</x:f>
        <x:v>0</x:v>
      </x:c>
      <x:c r="AD75" s="134" t="n">
        <x:f>IF($AI$20&lt;&gt;"OK",0,AC75*IF(AG75="長期",15%+5%+15%*2.1%,30%+9%+30%*2.1%))</x:f>
        <x:v>0</x:v>
      </x:c>
      <x:c r="AE75" s="134" t="n">
        <x:f>J75-(J75*'診断'!$C$24+'診断'!$C$25)-I75-AD75</x:f>
        <x:v>-4141006.5168825276</x:v>
      </x:c>
      <x:c r="AF75" s="134" t="n">
        <x:f>Y75+AE75-MAX(0,'診断'!$C$7+'診断'!$C$8-'診断'!$C$9)</x:f>
        <x:v>-13363273.736764837</x:v>
      </x:c>
      <x:c r="AG75" s="406" t="str">
        <x:f>IF('診断'!$C$49&lt;DATE(YEAR('診断'!$C$49)+A75-1-5,1,1),"長期","短期")</x:f>
        <x:v>長期</x:v>
      </x:c>
    </x:row>
    <x:row r="76" ht="20" customHeight="1">
      <x:c r="A76" s="197" t="n">
        <x:v>9</x:v>
      </x:c>
      <x:c r="B76" s="242" t="n">
        <x:f>'診断'!$C$12*12*'診断'!$B$30*'診断'!$B$31*(1-'診断'!$C$19)^(A76-1)</x:f>
        <x:v>1146491.0782029263</x:v>
      </x:c>
      <x:c r="C76" s="242" t="n">
        <x:f>(('診断'!$C$13+'診断'!$C$14)*12+'診断'!$C$21+'診断'!$C$22+B76*'診断'!$C$15)*'診断'!$B$33+'診断'!$C$23*'診断'!$B$34</x:f>
        <x:v>646655.692387683</x:v>
      </x:c>
      <x:c r="D76" s="242" t="n">
        <x:f>B76-C76</x:f>
        <x:v>499835.38581524335</x:v>
      </x:c>
      <x:c r="E76" s="242" t="n">
        <x:f>IF(A76&lt;='診断'!$C$11,-PMT('診断'!$B$32/12,'診断'!$C$11*12,'診断'!$C$9)*12,0)</x:f>
        <x:v>1614711.257104202</x:v>
      </x:c>
      <x:c r="F76" s="242" t="n">
        <x:f>D76-E76</x:f>
        <x:v>-1114875.8712889585</x:v>
      </x:c>
      <x:c r="G76" s="242" t="n">
        <x:f>G75+F76</x:f>
        <x:v>-9837143.091171268</x:v>
      </x:c>
      <x:c r="H76" s="242" t="n">
        <x:f>H75+MAX(0,-F76)</x:f>
        <x:v>9837143.091171268</x:v>
      </x:c>
      <x:c r="I76" s="242" t="n">
        <x:f>IF(A76&gt;='診断'!$C$11,0,MAX(0,-FV('診断'!$B$32/12,A76*12,PMT('診断'!$B$32/12,'診断'!$C$11*12,'診断'!$C$9),'診断'!$C$9)))</x:f>
        <x:v>29798145.07424374</x:v>
      </x:c>
      <x:c r="J76" s="242" t="n">
        <x:f>'診断'!$C$7*(1+'診断'!$B$35)^A76</x:f>
        <x:v>26608087.052909777</x:v>
      </x:c>
      <x:c r="K76" s="242" t="n">
        <x:f>J76*(1-'診断'!$C$24)-'診断'!$C$25-I76</x:f>
        <x:v>-4168124.894079987</x:v>
      </x:c>
      <x:c r="L76" s="242" t="n">
        <x:f>MAX(E76-MAX(I75-I76,0),0)</x:f>
        <x:v>846055.8142965946</x:v>
      </x:c>
      <x:c r="M76" s="242" t="n">
        <x:f>IF(OR($AI$20&lt;&gt;"OK",A76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75-1,0)))</x:f>
        <x:v>0</x:v>
      </x:c>
      <x:c r="N76" s="242" t="n">
        <x:f>IF(OR($AI$20&lt;&gt;"OK",A76&gt;'診断'!$C$16),0,MIN('診断'!$C$50*(1-'診断'!$C$53)*ROUNDUP(1/MAX(2,ROUNDDOWN(IF('診断'!$C$52&gt;=15,15*20%,(15-'診断'!$C$52)+'診断'!$C$52*20%),0)),3)*(12)/12,MAX(AA75-1,0)))</x:f>
        <x:v>0</x:v>
      </x:c>
      <x:c r="O76" s="242" t="n">
        <x:f>M76+N76</x:f>
        <x:v>0</x:v>
      </x:c>
      <x:c r="P76" s="134" t="n">
        <x:f>B76-C76-L76-O76</x:f>
        <x:v>-346220.42848135123</x:v>
      </x:c>
      <x:c r="Q76" s="134" t="n">
        <x:f>L76*IF('診断'!$C$9&gt;0,$AI$17/'診断'!$C$9,0)</x:f>
        <x:v>822554.263899467</x:v>
      </x:c>
      <x:c r="R76" s="134" t="n">
        <x:f>IF(P76&gt;=0,P76,MIN(0,P76+Q76))</x:f>
        <x:v>0</x:v>
      </x:c>
      <x:c r="S76" s="134" t="n">
        <x:f>ROUNDDOWN(MAX(($AI$8+R76)-IF(($AI$8+R76)&lt;=4890000,1040000,IF(($AI$8+R76)&lt;=6550000,670000,IF(($AI$8+R76)&lt;=23500000,620000,IF(($AI$8+R76)&lt;=24000000,480000,IF(($AI$8+R76)&lt;=24500000,320000,IF(($AI$8+R76)&lt;=25000000,160000,0))))))-$AI$10,0),-3)</x:f>
        <x:v>5930000</x:v>
      </x:c>
      <x:c r="T76" s="134" t="n">
        <x:f>ROUNDDOWN(MAX(IF(S76&lt;=1949000,S76*5%,IF(S76&lt;=3299000,S76*10%-97500,IF(S76&lt;=6949000,S76*20%-427500,IF(S76&lt;=8999000,S76*23%-636000,IF(S76&lt;=17999000,S76*33%-1536000,IF(S76&lt;=39999000,S76*40%-2796000,S76*45%-4796000)))))),0),-2)+ROUNDDOWN(ROUNDDOWN(MAX(IF(S76&lt;=1949000,S76*5%,IF(S76&lt;=3299000,S76*10%-97500,IF(S76&lt;=6949000,S76*20%-427500,IF(S76&lt;=8999000,S76*23%-636000,IF(S76&lt;=17999000,S76*33%-1536000,IF(S76&lt;=39999000,S76*40%-2796000,S76*45%-4796000)))))),0),-2)*2.1%,0)</x:f>
        <x:v>774428</x:v>
      </x:c>
      <x:c r="U76" s="134" t="n">
        <x:f>ROUNDDOWN(MAX(($AI$8+R76)-IF(($AI$8+R76)&lt;=24000000,430000,IF(($AI$8+R76)&lt;=24500000,290000,IF(($AI$8+R76)&lt;=25000000,150000,0)))-$AI$10,0),-3)</x:f>
        <x:v>6120000</x:v>
      </x:c>
      <x:c r="V76" s="134" t="n">
        <x:f>ROUNDDOWN(U76*10%,0)+5000</x:f>
        <x:v>617000</x:v>
      </x:c>
      <x:c r="W76" s="134" t="n">
        <x:f>IF($AI$20="OK",$AI$16-(T76+V76),0)</x:f>
        <x:v>0</x:v>
      </x:c>
      <x:c r="X76" s="134" t="n">
        <x:f>F76+W76</x:f>
        <x:v>-1114875.8712889585</x:v>
      </x:c>
      <x:c r="Y76" s="134" t="n">
        <x:f>Y75+X76</x:f>
        <x:v>-9837143.091171268</x:v>
      </x:c>
      <x:c r="Z76" s="134" t="n">
        <x:f>MAX(Z75-M76,0)</x:f>
        <x:v>0</x:v>
      </x:c>
      <x:c r="AA76" s="134" t="n">
        <x:f>MAX(AA75-N76,0)</x:f>
        <x:v>0</x:v>
      </x:c>
      <x:c r="AB76" s="134" t="n">
        <x:f>MAX('診断'!$C$7-'診断'!$C$50,0)+Z76+AA76+'診断'!$C$57</x:f>
        <x:v>35000000</x:v>
      </x:c>
      <x:c r="AC76" s="134" t="n">
        <x:f>MAX(J76-AB76-(J76*'診断'!$C$24+'診断'!$C$25)-'診断'!$C$58,0)</x:f>
        <x:v>0</x:v>
      </x:c>
      <x:c r="AD76" s="134" t="n">
        <x:f>IF($AI$20&lt;&gt;"OK",0,AC76*IF(AG76="長期",15%+5%+15%*2.1%,30%+9%+30%*2.1%))</x:f>
        <x:v>0</x:v>
      </x:c>
      <x:c r="AE76" s="134" t="n">
        <x:f>J76-(J76*'診断'!$C$24+'診断'!$C$25)-I76-AD76</x:f>
        <x:v>-4168124.894079987</x:v>
      </x:c>
      <x:c r="AF76" s="134" t="n">
        <x:f>Y76+AE76-MAX(0,'診断'!$C$7+'診断'!$C$8-'診断'!$C$9)</x:f>
        <x:v>-14505267.985251255</x:v>
      </x:c>
      <x:c r="AG76" s="406" t="str">
        <x:f>IF('診断'!$C$49&lt;DATE(YEAR('診断'!$C$49)+A76-1-5,1,1),"長期","短期")</x:f>
        <x:v>長期</x:v>
      </x:c>
    </x:row>
    <x:row r="77" ht="20" customHeight="1">
      <x:c r="A77" s="197" t="n">
        <x:v>10</x:v>
      </x:c>
      <x:c r="B77" s="242" t="n">
        <x:f>'診断'!$C$12*12*'診断'!$B$30*'診断'!$B$31*(1-'診断'!$C$19)^(A77-1)</x:f>
        <x:v>1140758.6228119116</x:v>
      </x:c>
      <x:c r="C77" s="242" t="n">
        <x:f>(('診断'!$C$13+'診断'!$C$14)*12+'診断'!$C$21+'診断'!$C$22+B77*'診断'!$C$15)*'診断'!$B$33+'診断'!$C$23*'診断'!$B$34</x:f>
        <x:v>646297.4139257445</x:v>
      </x:c>
      <x:c r="D77" s="242" t="n">
        <x:f>B77-C77</x:f>
        <x:v>494461.20888616715</x:v>
      </x:c>
      <x:c r="E77" s="242" t="n">
        <x:f>IF(A77&lt;='診断'!$C$11,-PMT('診断'!$B$32/12,'診断'!$C$11*12,'診断'!$C$9)*12,0)</x:f>
        <x:v>1614711.257104202</x:v>
      </x:c>
      <x:c r="F77" s="242" t="n">
        <x:f>D77-E77</x:f>
        <x:v>-1120250.0482180347</x:v>
      </x:c>
      <x:c r="G77" s="242" t="n">
        <x:f>G76+F77</x:f>
        <x:v>-10957393.139389303</x:v>
      </x:c>
      <x:c r="H77" s="242" t="n">
        <x:f>H76+MAX(0,-F77)</x:f>
        <x:v>10957393.139389303</x:v>
      </x:c>
      <x:c r="I77" s="242" t="n">
        <x:f>IF(A77&gt;='診断'!$C$11,0,MAX(0,-FV('診断'!$B$32/12,A77*12,PMT('診断'!$B$32/12,'診断'!$C$11*12,'診断'!$C$9),'診断'!$C$9)))</x:f>
        <x:v>29007688.91594491</x:v>
      </x:c>
      <x:c r="J77" s="242" t="n">
        <x:f>'診断'!$C$7*(1+'診断'!$B$35)^A77</x:f>
        <x:v>25809844.441322483</x:v>
      </x:c>
      <x:c r="K77" s="242" t="n">
        <x:f>J77*(1-'診断'!$C$24)-'診断'!$C$25-I77</x:f>
        <x:v>-4149569.3411860727</x:v>
      </x:c>
      <x:c r="L77" s="242" t="n">
        <x:f>MAX(E77-MAX(I76-I77,0),0)</x:f>
        <x:v>824255.0988053742</x:v>
      </x:c>
      <x:c r="M77" s="242" t="n">
        <x:f>IF(OR($AI$20&lt;&gt;"OK",A77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76-1,0)))</x:f>
        <x:v>0</x:v>
      </x:c>
      <x:c r="N77" s="242" t="n">
        <x:f>IF(OR($AI$20&lt;&gt;"OK",A77&gt;'診断'!$C$16),0,MIN('診断'!$C$50*(1-'診断'!$C$53)*ROUNDUP(1/MAX(2,ROUNDDOWN(IF('診断'!$C$52&gt;=15,15*20%,(15-'診断'!$C$52)+'診断'!$C$52*20%),0)),3)*(12)/12,MAX(AA76-1,0)))</x:f>
        <x:v>0</x:v>
      </x:c>
      <x:c r="O77" s="242" t="n">
        <x:f>M77+N77</x:f>
        <x:v>0</x:v>
      </x:c>
      <x:c r="P77" s="134" t="n">
        <x:f>B77-C77-L77-O77</x:f>
        <x:v>-329793.8899192071</x:v>
      </x:c>
      <x:c r="Q77" s="134" t="n">
        <x:f>L77*IF('診断'!$C$9&gt;0,$AI$17/'診断'!$C$9,0)</x:f>
        <x:v>801359.1238385583</x:v>
      </x:c>
      <x:c r="R77" s="134" t="n">
        <x:f>IF(P77&gt;=0,P77,MIN(0,P77+Q77))</x:f>
        <x:v>0</x:v>
      </x:c>
      <x:c r="S77" s="134" t="n">
        <x:f>ROUNDDOWN(MAX(($AI$8+R77)-IF(($AI$8+R77)&lt;=4890000,1040000,IF(($AI$8+R77)&lt;=6550000,670000,IF(($AI$8+R77)&lt;=23500000,620000,IF(($AI$8+R77)&lt;=24000000,480000,IF(($AI$8+R77)&lt;=24500000,320000,IF(($AI$8+R77)&lt;=25000000,160000,0))))))-$AI$10,0),-3)</x:f>
        <x:v>5930000</x:v>
      </x:c>
      <x:c r="T77" s="134" t="n">
        <x:f>ROUNDDOWN(MAX(IF(S77&lt;=1949000,S77*5%,IF(S77&lt;=3299000,S77*10%-97500,IF(S77&lt;=6949000,S77*20%-427500,IF(S77&lt;=8999000,S77*23%-636000,IF(S77&lt;=17999000,S77*33%-1536000,IF(S77&lt;=39999000,S77*40%-2796000,S77*45%-4796000)))))),0),-2)+ROUNDDOWN(ROUNDDOWN(MAX(IF(S77&lt;=1949000,S77*5%,IF(S77&lt;=3299000,S77*10%-97500,IF(S77&lt;=6949000,S77*20%-427500,IF(S77&lt;=8999000,S77*23%-636000,IF(S77&lt;=17999000,S77*33%-1536000,IF(S77&lt;=39999000,S77*40%-2796000,S77*45%-4796000)))))),0),-2)*2.1%,0)</x:f>
        <x:v>774428</x:v>
      </x:c>
      <x:c r="U77" s="134" t="n">
        <x:f>ROUNDDOWN(MAX(($AI$8+R77)-IF(($AI$8+R77)&lt;=24000000,430000,IF(($AI$8+R77)&lt;=24500000,290000,IF(($AI$8+R77)&lt;=25000000,150000,0)))-$AI$10,0),-3)</x:f>
        <x:v>6120000</x:v>
      </x:c>
      <x:c r="V77" s="134" t="n">
        <x:f>ROUNDDOWN(U77*10%,0)+5000</x:f>
        <x:v>617000</x:v>
      </x:c>
      <x:c r="W77" s="134" t="n">
        <x:f>IF($AI$20="OK",$AI$16-(T77+V77),0)</x:f>
        <x:v>0</x:v>
      </x:c>
      <x:c r="X77" s="134" t="n">
        <x:f>F77+W77</x:f>
        <x:v>-1120250.0482180347</x:v>
      </x:c>
      <x:c r="Y77" s="134" t="n">
        <x:f>Y76+X77</x:f>
        <x:v>-10957393.139389303</x:v>
      </x:c>
      <x:c r="Z77" s="134" t="n">
        <x:f>MAX(Z76-M77,0)</x:f>
        <x:v>0</x:v>
      </x:c>
      <x:c r="AA77" s="134" t="n">
        <x:f>MAX(AA76-N77,0)</x:f>
        <x:v>0</x:v>
      </x:c>
      <x:c r="AB77" s="134" t="n">
        <x:f>MAX('診断'!$C$7-'診断'!$C$50,0)+Z77+AA77+'診断'!$C$57</x:f>
        <x:v>35000000</x:v>
      </x:c>
      <x:c r="AC77" s="134" t="n">
        <x:f>MAX(J77-AB77-(J77*'診断'!$C$24+'診断'!$C$25)-'診断'!$C$58,0)</x:f>
        <x:v>0</x:v>
      </x:c>
      <x:c r="AD77" s="134" t="n">
        <x:f>IF($AI$20&lt;&gt;"OK",0,AC77*IF(AG77="長期",15%+5%+15%*2.1%,30%+9%+30%*2.1%))</x:f>
        <x:v>0</x:v>
      </x:c>
      <x:c r="AE77" s="134" t="n">
        <x:f>J77-(J77*'診断'!$C$24+'診断'!$C$25)-I77-AD77</x:f>
        <x:v>-4149569.341186069</x:v>
      </x:c>
      <x:c r="AF77" s="134" t="n">
        <x:f>Y77+AE77-MAX(0,'診断'!$C$7+'診断'!$C$8-'診断'!$C$9)</x:f>
        <x:v>-15606962.480575372</x:v>
      </x:c>
      <x:c r="AG77" s="406" t="str">
        <x:f>IF('診断'!$C$49&lt;DATE(YEAR('診断'!$C$49)+A77-1-5,1,1),"長期","短期")</x:f>
        <x:v>長期</x:v>
      </x:c>
    </x:row>
    <x:row r="78" ht="20" customHeight="1">
      <x:c r="A78" s="197" t="n">
        <x:v>11</x:v>
      </x:c>
      <x:c r="B78" s="242" t="n">
        <x:f>'診断'!$C$12*12*'診断'!$B$30*'診断'!$B$31*(1-'診断'!$C$19)^(A78-1)</x:f>
        <x:v>1135054.8296978523</x:v>
      </x:c>
      <x:c r="C78" s="242" t="n">
        <x:f>(('診断'!$C$13+'診断'!$C$14)*12+'診断'!$C$21+'診断'!$C$22+B78*'診断'!$C$15)*'診断'!$B$33+'診断'!$C$23*'診断'!$B$34</x:f>
        <x:v>645940.9268561158</x:v>
      </x:c>
      <x:c r="D78" s="242" t="n">
        <x:f>B78-C78</x:f>
        <x:v>489113.90284173645</x:v>
      </x:c>
      <x:c r="E78" s="242" t="n">
        <x:f>IF(A78&lt;='診断'!$C$11,-PMT('診断'!$B$32/12,'診断'!$C$11*12,'診断'!$C$9)*12,0)</x:f>
        <x:v>1614711.257104202</x:v>
      </x:c>
      <x:c r="F78" s="242" t="n">
        <x:f>D78-E78</x:f>
        <x:v>-1125597.3542624656</x:v>
      </x:c>
      <x:c r="G78" s="242" t="n">
        <x:f>G77+F78</x:f>
        <x:v>-12082990.493651768</x:v>
      </x:c>
      <x:c r="H78" s="242" t="n">
        <x:f>H77+MAX(0,-F78)</x:f>
        <x:v>12082990.493651768</x:v>
      </x:c>
      <x:c r="I78" s="242" t="n">
        <x:f>IF(A78&gt;='診断'!$C$11,0,MAX(0,-FV('診断'!$B$32/12,A78*12,PMT('診断'!$B$32/12,'診断'!$C$11*12,'診断'!$C$9),'診断'!$C$9)))</x:f>
        <x:v>28194813.72714732</x:v>
      </x:c>
      <x:c r="J78" s="242" t="n">
        <x:f>'診断'!$C$7*(1+'診断'!$B$35)^A78</x:f>
        <x:v>25035549.10808281</x:v>
      </x:c>
      <x:c r="K78" s="242" t="n">
        <x:f>J78*(1-'診断'!$C$24)-'診断'!$C$25-I78</x:f>
        <x:v>-4085437.739631243</x:v>
      </x:c>
      <x:c r="L78" s="242" t="n">
        <x:f>MAX(E78-MAX(I77-I78,0),0)</x:f>
        <x:v>801836.0683066088</x:v>
      </x:c>
      <x:c r="M78" s="242" t="n">
        <x:f>IF(OR($AI$20&lt;&gt;"OK",A78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77-1,0)))</x:f>
        <x:v>0</x:v>
      </x:c>
      <x:c r="N78" s="242" t="n">
        <x:f>IF(OR($AI$20&lt;&gt;"OK",A78&gt;'診断'!$C$16),0,MIN('診断'!$C$50*(1-'診断'!$C$53)*ROUNDUP(1/MAX(2,ROUNDDOWN(IF('診断'!$C$52&gt;=15,15*20%,(15-'診断'!$C$52)+'診断'!$C$52*20%),0)),3)*(12)/12,MAX(AA77-1,0)))</x:f>
        <x:v>0</x:v>
      </x:c>
      <x:c r="O78" s="242" t="n">
        <x:f>M78+N78</x:f>
        <x:v>0</x:v>
      </x:c>
      <x:c r="P78" s="134" t="n">
        <x:f>B78-C78-L78-O78</x:f>
        <x:v>-312722.1654648724</x:v>
      </x:c>
      <x:c r="Q78" s="134" t="n">
        <x:f>L78*IF('診断'!$C$9&gt;0,$AI$17/'診断'!$C$9,0)</x:f>
        <x:v>779562.8441869807</x:v>
      </x:c>
      <x:c r="R78" s="134" t="n">
        <x:f>IF(P78&gt;=0,P78,MIN(0,P78+Q78))</x:f>
        <x:v>0</x:v>
      </x:c>
      <x:c r="S78" s="134" t="n">
        <x:f>ROUNDDOWN(MAX(($AI$8+R78)-IF(($AI$8+R78)&lt;=4890000,1040000,IF(($AI$8+R78)&lt;=6550000,670000,IF(($AI$8+R78)&lt;=23500000,620000,IF(($AI$8+R78)&lt;=24000000,480000,IF(($AI$8+R78)&lt;=24500000,320000,IF(($AI$8+R78)&lt;=25000000,160000,0))))))-$AI$10,0),-3)</x:f>
        <x:v>5930000</x:v>
      </x:c>
      <x:c r="T78" s="134" t="n">
        <x:f>ROUNDDOWN(MAX(IF(S78&lt;=1949000,S78*5%,IF(S78&lt;=3299000,S78*10%-97500,IF(S78&lt;=6949000,S78*20%-427500,IF(S78&lt;=8999000,S78*23%-636000,IF(S78&lt;=17999000,S78*33%-1536000,IF(S78&lt;=39999000,S78*40%-2796000,S78*45%-4796000)))))),0),-2)+ROUNDDOWN(ROUNDDOWN(MAX(IF(S78&lt;=1949000,S78*5%,IF(S78&lt;=3299000,S78*10%-97500,IF(S78&lt;=6949000,S78*20%-427500,IF(S78&lt;=8999000,S78*23%-636000,IF(S78&lt;=17999000,S78*33%-1536000,IF(S78&lt;=39999000,S78*40%-2796000,S78*45%-4796000)))))),0),-2)*2.1%,0)</x:f>
        <x:v>774428</x:v>
      </x:c>
      <x:c r="U78" s="134" t="n">
        <x:f>ROUNDDOWN(MAX(($AI$8+R78)-IF(($AI$8+R78)&lt;=24000000,430000,IF(($AI$8+R78)&lt;=24500000,290000,IF(($AI$8+R78)&lt;=25000000,150000,0)))-$AI$10,0),-3)</x:f>
        <x:v>6120000</x:v>
      </x:c>
      <x:c r="V78" s="134" t="n">
        <x:f>ROUNDDOWN(U78*10%,0)+5000</x:f>
        <x:v>617000</x:v>
      </x:c>
      <x:c r="W78" s="134" t="n">
        <x:f>IF($AI$20="OK",$AI$16-(T78+V78),0)</x:f>
        <x:v>0</x:v>
      </x:c>
      <x:c r="X78" s="134" t="n">
        <x:f>F78+W78</x:f>
        <x:v>-1125597.3542624656</x:v>
      </x:c>
      <x:c r="Y78" s="134" t="n">
        <x:f>Y77+X78</x:f>
        <x:v>-12082990.493651768</x:v>
      </x:c>
      <x:c r="Z78" s="134" t="n">
        <x:f>MAX(Z77-M78,0)</x:f>
        <x:v>0</x:v>
      </x:c>
      <x:c r="AA78" s="134" t="n">
        <x:f>MAX(AA77-N78,0)</x:f>
        <x:v>0</x:v>
      </x:c>
      <x:c r="AB78" s="134" t="n">
        <x:f>MAX('診断'!$C$7-'診断'!$C$50,0)+Z78+AA78+'診断'!$C$57</x:f>
        <x:v>35000000</x:v>
      </x:c>
      <x:c r="AC78" s="134" t="n">
        <x:f>MAX(J78-AB78-(J78*'診断'!$C$24+'診断'!$C$25)-'診断'!$C$58,0)</x:f>
        <x:v>0</x:v>
      </x:c>
      <x:c r="AD78" s="134" t="n">
        <x:f>IF($AI$20&lt;&gt;"OK",0,AC78*IF(AG78="長期",15%+5%+15%*2.1%,30%+9%+30%*2.1%))</x:f>
        <x:v>0</x:v>
      </x:c>
      <x:c r="AE78" s="134" t="n">
        <x:f>J78-(J78*'診断'!$C$24+'診断'!$C$25)-I78-AD78</x:f>
        <x:v>-4085437.739631243</x:v>
      </x:c>
      <x:c r="AF78" s="134" t="n">
        <x:f>Y78+AE78-MAX(0,'診断'!$C$7+'診断'!$C$8-'診断'!$C$9)</x:f>
        <x:v>-16668428.233283011</x:v>
      </x:c>
      <x:c r="AG78" s="406" t="str">
        <x:f>IF('診断'!$C$49&lt;DATE(YEAR('診断'!$C$49)+A78-1-5,1,1),"長期","短期")</x:f>
        <x:v>長期</x:v>
      </x:c>
    </x:row>
    <x:row r="79" ht="20" customHeight="1">
      <x:c r="A79" s="197" t="n">
        <x:v>12</x:v>
      </x:c>
      <x:c r="B79" s="242" t="n">
        <x:f>'診断'!$C$12*12*'診断'!$B$30*'診断'!$B$31*(1-'診断'!$C$19)^(A79-1)</x:f>
        <x:v>1129379.555549363</x:v>
      </x:c>
      <x:c r="C79" s="242" t="n">
        <x:f>(('診断'!$C$13+'診断'!$C$14)*12+'診断'!$C$21+'診断'!$C$22+B79*'診断'!$C$15)*'診断'!$B$33+'診断'!$C$23*'診断'!$B$34</x:f>
        <x:v>645586.2222218352</x:v>
      </x:c>
      <x:c r="D79" s="242" t="n">
        <x:f>B79-C79</x:f>
        <x:v>483793.33332752774</x:v>
      </x:c>
      <x:c r="E79" s="242" t="n">
        <x:f>IF(A79&lt;='診断'!$C$11,-PMT('診断'!$B$32/12,'診断'!$C$11*12,'診断'!$C$9)*12,0)</x:f>
        <x:v>1614711.257104202</x:v>
      </x:c>
      <x:c r="F79" s="242" t="n">
        <x:f>D79-E79</x:f>
        <x:v>-1130917.923776674</x:v>
      </x:c>
      <x:c r="G79" s="242" t="n">
        <x:f>G78+F79</x:f>
        <x:v>-13213908.417428441</x:v>
      </x:c>
      <x:c r="H79" s="242" t="n">
        <x:f>H78+MAX(0,-F79)</x:f>
        <x:v>13213908.417428441</x:v>
      </x:c>
      <x:c r="I79" s="242" t="n">
        <x:f>IF(A79&gt;='診断'!$C$11,0,MAX(0,-FV('診断'!$B$32/12,A79*12,PMT('診断'!$B$32/12,'診断'!$C$11*12,'診断'!$C$9),'診断'!$C$9)))</x:f>
        <x:v>27358883.656104807</x:v>
      </x:c>
      <x:c r="J79" s="242" t="n">
        <x:f>'診断'!$C$7*(1+'診断'!$B$35)^A79</x:f>
        <x:v>24284482.63484032</x:v>
      </x:c>
      <x:c r="K79" s="242" t="n">
        <x:f>J79*(1-'診断'!$C$24)-'診断'!$C$25-I79</x:f>
        <x:v>-3975788.948214218</x:v>
      </x:c>
      <x:c r="L79" s="242" t="n">
        <x:f>MAX(E79-MAX(I78-I79,0),0)</x:f>
        <x:v>778781.1860616903</x:v>
      </x:c>
      <x:c r="M79" s="242" t="n">
        <x:f>IF(OR($AI$20&lt;&gt;"OK",A79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78-1,0)))</x:f>
        <x:v>0</x:v>
      </x:c>
      <x:c r="N79" s="242" t="n">
        <x:f>IF(OR($AI$20&lt;&gt;"OK",A79&gt;'診断'!$C$16),0,MIN('診断'!$C$50*(1-'診断'!$C$53)*ROUNDUP(1/MAX(2,ROUNDDOWN(IF('診断'!$C$52&gt;=15,15*20%,(15-'診断'!$C$52)+'診断'!$C$52*20%),0)),3)*(12)/12,MAX(AA78-1,0)))</x:f>
        <x:v>0</x:v>
      </x:c>
      <x:c r="O79" s="242" t="n">
        <x:f>M79+N79</x:f>
        <x:v>0</x:v>
      </x:c>
      <x:c r="P79" s="134" t="n">
        <x:f>B79-C79-L79-O79</x:f>
        <x:v>-294987.8527341626</x:v>
      </x:c>
      <x:c r="Q79" s="134" t="n">
        <x:f>L79*IF('診断'!$C$9&gt;0,$AI$17/'診断'!$C$9,0)</x:f>
        <x:v>757148.3753377545</x:v>
      </x:c>
      <x:c r="R79" s="134" t="n">
        <x:f>IF(P79&gt;=0,P79,MIN(0,P79+Q79))</x:f>
        <x:v>0</x:v>
      </x:c>
      <x:c r="S79" s="134" t="n">
        <x:f>ROUNDDOWN(MAX(($AI$8+R79)-IF(($AI$8+R79)&lt;=4890000,1040000,IF(($AI$8+R79)&lt;=6550000,670000,IF(($AI$8+R79)&lt;=23500000,620000,IF(($AI$8+R79)&lt;=24000000,480000,IF(($AI$8+R79)&lt;=24500000,320000,IF(($AI$8+R79)&lt;=25000000,160000,0))))))-$AI$10,0),-3)</x:f>
        <x:v>5930000</x:v>
      </x:c>
      <x:c r="T79" s="134" t="n">
        <x:f>ROUNDDOWN(MAX(IF(S79&lt;=1949000,S79*5%,IF(S79&lt;=3299000,S79*10%-97500,IF(S79&lt;=6949000,S79*20%-427500,IF(S79&lt;=8999000,S79*23%-636000,IF(S79&lt;=17999000,S79*33%-1536000,IF(S79&lt;=39999000,S79*40%-2796000,S79*45%-4796000)))))),0),-2)+ROUNDDOWN(ROUNDDOWN(MAX(IF(S79&lt;=1949000,S79*5%,IF(S79&lt;=3299000,S79*10%-97500,IF(S79&lt;=6949000,S79*20%-427500,IF(S79&lt;=8999000,S79*23%-636000,IF(S79&lt;=17999000,S79*33%-1536000,IF(S79&lt;=39999000,S79*40%-2796000,S79*45%-4796000)))))),0),-2)*2.1%,0)</x:f>
        <x:v>774428</x:v>
      </x:c>
      <x:c r="U79" s="134" t="n">
        <x:f>ROUNDDOWN(MAX(($AI$8+R79)-IF(($AI$8+R79)&lt;=24000000,430000,IF(($AI$8+R79)&lt;=24500000,290000,IF(($AI$8+R79)&lt;=25000000,150000,0)))-$AI$10,0),-3)</x:f>
        <x:v>6120000</x:v>
      </x:c>
      <x:c r="V79" s="134" t="n">
        <x:f>ROUNDDOWN(U79*10%,0)+5000</x:f>
        <x:v>617000</x:v>
      </x:c>
      <x:c r="W79" s="134" t="n">
        <x:f>IF($AI$20="OK",$AI$16-(T79+V79),0)</x:f>
        <x:v>0</x:v>
      </x:c>
      <x:c r="X79" s="134" t="n">
        <x:f>F79+W79</x:f>
        <x:v>-1130917.923776674</x:v>
      </x:c>
      <x:c r="Y79" s="134" t="n">
        <x:f>Y78+X79</x:f>
        <x:v>-13213908.417428441</x:v>
      </x:c>
      <x:c r="Z79" s="134" t="n">
        <x:f>MAX(Z78-M79,0)</x:f>
        <x:v>0</x:v>
      </x:c>
      <x:c r="AA79" s="134" t="n">
        <x:f>MAX(AA78-N79,0)</x:f>
        <x:v>0</x:v>
      </x:c>
      <x:c r="AB79" s="134" t="n">
        <x:f>MAX('診断'!$C$7-'診断'!$C$50,0)+Z79+AA79+'診断'!$C$57</x:f>
        <x:v>35000000</x:v>
      </x:c>
      <x:c r="AC79" s="134" t="n">
        <x:f>MAX(J79-AB79-(J79*'診断'!$C$24+'診断'!$C$25)-'診断'!$C$58,0)</x:f>
        <x:v>0</x:v>
      </x:c>
      <x:c r="AD79" s="134" t="n">
        <x:f>IF($AI$20&lt;&gt;"OK",0,AC79*IF(AG79="長期",15%+5%+15%*2.1%,30%+9%+30%*2.1%))</x:f>
        <x:v>0</x:v>
      </x:c>
      <x:c r="AE79" s="134" t="n">
        <x:f>J79-(J79*'診断'!$C$24+'診断'!$C$25)-I79-AD79</x:f>
        <x:v>-3975788.948214218</x:v>
      </x:c>
      <x:c r="AF79" s="134" t="n">
        <x:f>Y79+AE79-MAX(0,'診断'!$C$7+'診断'!$C$8-'診断'!$C$9)</x:f>
        <x:v>-17689697.36564266</x:v>
      </x:c>
      <x:c r="AG79" s="406" t="str">
        <x:f>IF('診断'!$C$49&lt;DATE(YEAR('診断'!$C$49)+A79-1-5,1,1),"長期","短期")</x:f>
        <x:v>長期</x:v>
      </x:c>
    </x:row>
    <x:row r="80" ht="20" customHeight="1">
      <x:c r="A80" s="197" t="n">
        <x:v>13</x:v>
      </x:c>
      <x:c r="B80" s="242" t="n">
        <x:f>'診断'!$C$12*12*'診断'!$B$30*'診断'!$B$31*(1-'診断'!$C$19)^(A80-1)</x:f>
        <x:v>1123732.657771616</x:v>
      </x:c>
      <x:c r="C80" s="242" t="n">
        <x:f>(('診断'!$C$13+'診断'!$C$14)*12+'診断'!$C$21+'診断'!$C$22+B80*'診断'!$C$15)*'診断'!$B$33+'診断'!$C$23*'診断'!$B$34</x:f>
        <x:v>645233.291110726</x:v>
      </x:c>
      <x:c r="D80" s="242" t="n">
        <x:f>B80-C80</x:f>
        <x:v>478499.36666089005</x:v>
      </x:c>
      <x:c r="E80" s="242" t="n">
        <x:f>IF(A80&lt;='診断'!$C$11,-PMT('診断'!$B$32/12,'診断'!$C$11*12,'診断'!$C$9)*12,0)</x:f>
        <x:v>1614711.257104202</x:v>
      </x:c>
      <x:c r="F80" s="242" t="n">
        <x:f>D80-E80</x:f>
        <x:v>-1136211.890443312</x:v>
      </x:c>
      <x:c r="G80" s="242" t="n">
        <x:f>G79+F80</x:f>
        <x:v>-14350120.307871753</x:v>
      </x:c>
      <x:c r="H80" s="242" t="n">
        <x:f>H79+MAX(0,-F80)</x:f>
        <x:v>14350120.307871753</x:v>
      </x:c>
      <x:c r="I80" s="242" t="n">
        <x:f>IF(A80&gt;='診断'!$C$11,0,MAX(0,-FV('診断'!$B$32/12,A80*12,PMT('診断'!$B$32/12,'診断'!$C$11*12,'診断'!$C$9),'診断'!$C$9)))</x:f>
        <x:v>26499244.81695317</x:v>
      </x:c>
      <x:c r="J80" s="242" t="n">
        <x:f>'診断'!$C$7*(1+'診断'!$B$35)^A80</x:f>
        <x:v>23555948.155795112</x:v>
      </x:c>
      <x:c r="K80" s="242" t="n">
        <x:f>J80*(1-'診断'!$C$24)-'診断'!$C$25-I80</x:f>
        <x:v>-3820642.9502992965</x:v>
      </x:c>
      <x:c r="L80" s="242" t="n">
        <x:f>MAX(E80-MAX(I79-I80,0),0)</x:f>
        <x:v>755072.4179525662</x:v>
      </x:c>
      <x:c r="M80" s="242" t="n">
        <x:f>IF(OR($AI$20&lt;&gt;"OK",A80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79-1,0)))</x:f>
        <x:v>0</x:v>
      </x:c>
      <x:c r="N80" s="242" t="n">
        <x:f>IF(OR($AI$20&lt;&gt;"OK",A80&gt;'診断'!$C$16),0,MIN('診断'!$C$50*(1-'診断'!$C$53)*ROUNDUP(1/MAX(2,ROUNDDOWN(IF('診断'!$C$52&gt;=15,15*20%,(15-'診断'!$C$52)+'診断'!$C$52*20%),0)),3)*(12)/12,MAX(AA79-1,0)))</x:f>
        <x:v>0</x:v>
      </x:c>
      <x:c r="O80" s="242" t="n">
        <x:f>M80+N80</x:f>
        <x:v>0</x:v>
      </x:c>
      <x:c r="P80" s="134" t="n">
        <x:f>B80-C80-L80-O80</x:f>
        <x:v>-276573.0512916761</x:v>
      </x:c>
      <x:c r="Q80" s="134" t="n">
        <x:f>L80*IF('診断'!$C$9&gt;0,$AI$17/'診断'!$C$9,0)</x:f>
        <x:v>734098.1841205504</x:v>
      </x:c>
      <x:c r="R80" s="134" t="n">
        <x:f>IF(P80&gt;=0,P80,MIN(0,P80+Q80))</x:f>
        <x:v>0</x:v>
      </x:c>
      <x:c r="S80" s="134" t="n">
        <x:f>ROUNDDOWN(MAX(($AI$8+R80)-IF(($AI$8+R80)&lt;=4890000,1040000,IF(($AI$8+R80)&lt;=6550000,670000,IF(($AI$8+R80)&lt;=23500000,620000,IF(($AI$8+R80)&lt;=24000000,480000,IF(($AI$8+R80)&lt;=24500000,320000,IF(($AI$8+R80)&lt;=25000000,160000,0))))))-$AI$10,0),-3)</x:f>
        <x:v>5930000</x:v>
      </x:c>
      <x:c r="T80" s="134" t="n">
        <x:f>ROUNDDOWN(MAX(IF(S80&lt;=1949000,S80*5%,IF(S80&lt;=3299000,S80*10%-97500,IF(S80&lt;=6949000,S80*20%-427500,IF(S80&lt;=8999000,S80*23%-636000,IF(S80&lt;=17999000,S80*33%-1536000,IF(S80&lt;=39999000,S80*40%-2796000,S80*45%-4796000)))))),0),-2)+ROUNDDOWN(ROUNDDOWN(MAX(IF(S80&lt;=1949000,S80*5%,IF(S80&lt;=3299000,S80*10%-97500,IF(S80&lt;=6949000,S80*20%-427500,IF(S80&lt;=8999000,S80*23%-636000,IF(S80&lt;=17999000,S80*33%-1536000,IF(S80&lt;=39999000,S80*40%-2796000,S80*45%-4796000)))))),0),-2)*2.1%,0)</x:f>
        <x:v>774428</x:v>
      </x:c>
      <x:c r="U80" s="134" t="n">
        <x:f>ROUNDDOWN(MAX(($AI$8+R80)-IF(($AI$8+R80)&lt;=24000000,430000,IF(($AI$8+R80)&lt;=24500000,290000,IF(($AI$8+R80)&lt;=25000000,150000,0)))-$AI$10,0),-3)</x:f>
        <x:v>6120000</x:v>
      </x:c>
      <x:c r="V80" s="134" t="n">
        <x:f>ROUNDDOWN(U80*10%,0)+5000</x:f>
        <x:v>617000</x:v>
      </x:c>
      <x:c r="W80" s="134" t="n">
        <x:f>IF($AI$20="OK",$AI$16-(T80+V80),0)</x:f>
        <x:v>0</x:v>
      </x:c>
      <x:c r="X80" s="134" t="n">
        <x:f>F80+W80</x:f>
        <x:v>-1136211.890443312</x:v>
      </x:c>
      <x:c r="Y80" s="134" t="n">
        <x:f>Y79+X80</x:f>
        <x:v>-14350120.307871753</x:v>
      </x:c>
      <x:c r="Z80" s="134" t="n">
        <x:f>MAX(Z79-M80,0)</x:f>
        <x:v>0</x:v>
      </x:c>
      <x:c r="AA80" s="134" t="n">
        <x:f>MAX(AA79-N80,0)</x:f>
        <x:v>0</x:v>
      </x:c>
      <x:c r="AB80" s="134" t="n">
        <x:f>MAX('診断'!$C$7-'診断'!$C$50,0)+Z80+AA80+'診断'!$C$57</x:f>
        <x:v>35000000</x:v>
      </x:c>
      <x:c r="AC80" s="134" t="n">
        <x:f>MAX(J80-AB80-(J80*'診断'!$C$24+'診断'!$C$25)-'診断'!$C$58,0)</x:f>
        <x:v>0</x:v>
      </x:c>
      <x:c r="AD80" s="134" t="n">
        <x:f>IF($AI$20&lt;&gt;"OK",0,AC80*IF(AG80="長期",15%+5%+15%*2.1%,30%+9%+30%*2.1%))</x:f>
        <x:v>0</x:v>
      </x:c>
      <x:c r="AE80" s="134" t="n">
        <x:f>J80-(J80*'診断'!$C$24+'診断'!$C$25)-I80-AD80</x:f>
        <x:v>-3820642.9502992965</x:v>
      </x:c>
      <x:c r="AF80" s="134" t="n">
        <x:f>Y80+AE80-MAX(0,'診断'!$C$7+'診断'!$C$8-'診断'!$C$9)</x:f>
        <x:v>-18670763.25817105</x:v>
      </x:c>
      <x:c r="AG80" s="406" t="str">
        <x:f>IF('診断'!$C$49&lt;DATE(YEAR('診断'!$C$49)+A80-1-5,1,1),"長期","短期")</x:f>
        <x:v>長期</x:v>
      </x:c>
    </x:row>
    <x:row r="81" ht="20" customHeight="1">
      <x:c r="A81" s="197" t="n">
        <x:v>14</x:v>
      </x:c>
      <x:c r="B81" s="242" t="n">
        <x:f>'診断'!$C$12*12*'診断'!$B$30*'診断'!$B$31*(1-'診断'!$C$19)^(A81-1)</x:f>
        <x:v>1118113.994482758</x:v>
      </x:c>
      <x:c r="C81" s="242" t="n">
        <x:f>(('診断'!$C$13+'診断'!$C$14)*12+'診断'!$C$21+'診断'!$C$22+B81*'診断'!$C$15)*'診断'!$B$33+'診断'!$C$23*'診断'!$B$34</x:f>
        <x:v>644882.1246551723</x:v>
      </x:c>
      <x:c r="D81" s="242" t="n">
        <x:f>B81-C81</x:f>
        <x:v>473231.86982758564</x:v>
      </x:c>
      <x:c r="E81" s="242" t="n">
        <x:f>IF(A81&lt;='診断'!$C$11,-PMT('診断'!$B$32/12,'診断'!$C$11*12,'診断'!$C$9)*12,0)</x:f>
        <x:v>1614711.257104202</x:v>
      </x:c>
      <x:c r="F81" s="242" t="n">
        <x:f>D81-E81</x:f>
        <x:v>-1141479.3872766164</x:v>
      </x:c>
      <x:c r="G81" s="242" t="n">
        <x:f>G80+F81</x:f>
        <x:v>-15491599.69514837</x:v>
      </x:c>
      <x:c r="H81" s="242" t="n">
        <x:f>H80+MAX(0,-F81)</x:f>
        <x:v>15491599.69514837</x:v>
      </x:c>
      <x:c r="I81" s="242" t="n">
        <x:f>IF(A81&gt;='診断'!$C$11,0,MAX(0,-FV('診断'!$B$32/12,A81*12,PMT('診断'!$B$32/12,'診断'!$C$11*12,'診断'!$C$9),'診断'!$C$9)))</x:f>
        <x:v>25615224.77822388</x:v>
      </x:c>
      <x:c r="J81" s="242" t="n">
        <x:f>'診断'!$C$7*(1+'診断'!$B$35)^A81</x:f>
        <x:v>22849269.711121257</x:v>
      </x:c>
      <x:c r="K81" s="242" t="n">
        <x:f>J81*(1-'診断'!$C$24)-'診断'!$C$25-I81</x:f>
        <x:v>-3619980.967569623</x:v>
      </x:c>
      <x:c r="L81" s="242" t="n">
        <x:f>MAX(E81-MAX(I80-I81,0),0)</x:f>
        <x:v>730691.2183749105</x:v>
      </x:c>
      <x:c r="M81" s="242" t="n">
        <x:f>IF(OR($AI$20&lt;&gt;"OK",A81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80-1,0)))</x:f>
        <x:v>0</x:v>
      </x:c>
      <x:c r="N81" s="242" t="n">
        <x:f>IF(OR($AI$20&lt;&gt;"OK",A81&gt;'診断'!$C$16),0,MIN('診断'!$C$50*(1-'診断'!$C$53)*ROUNDUP(1/MAX(2,ROUNDDOWN(IF('診断'!$C$52&gt;=15,15*20%,(15-'診断'!$C$52)+'診断'!$C$52*20%),0)),3)*(12)/12,MAX(AA80-1,0)))</x:f>
        <x:v>0</x:v>
      </x:c>
      <x:c r="O81" s="242" t="n">
        <x:f>M81+N81</x:f>
        <x:v>0</x:v>
      </x:c>
      <x:c r="P81" s="134" t="n">
        <x:f>B81-C81-L81-O81</x:f>
        <x:v>-257459.3485473249</x:v>
      </x:c>
      <x:c r="Q81" s="134" t="n">
        <x:f>L81*IF('診断'!$C$9&gt;0,$AI$17/'診断'!$C$9,0)</x:f>
        <x:v>710394.2400867186</x:v>
      </x:c>
      <x:c r="R81" s="134" t="n">
        <x:f>IF(P81&gt;=0,P81,MIN(0,P81+Q81))</x:f>
        <x:v>0</x:v>
      </x:c>
      <x:c r="S81" s="134" t="n">
        <x:f>ROUNDDOWN(MAX(($AI$8+R81)-IF(($AI$8+R81)&lt;=4890000,1040000,IF(($AI$8+R81)&lt;=6550000,670000,IF(($AI$8+R81)&lt;=23500000,620000,IF(($AI$8+R81)&lt;=24000000,480000,IF(($AI$8+R81)&lt;=24500000,320000,IF(($AI$8+R81)&lt;=25000000,160000,0))))))-$AI$10,0),-3)</x:f>
        <x:v>5930000</x:v>
      </x:c>
      <x:c r="T81" s="134" t="n">
        <x:f>ROUNDDOWN(MAX(IF(S81&lt;=1949000,S81*5%,IF(S81&lt;=3299000,S81*10%-97500,IF(S81&lt;=6949000,S81*20%-427500,IF(S81&lt;=8999000,S81*23%-636000,IF(S81&lt;=17999000,S81*33%-1536000,IF(S81&lt;=39999000,S81*40%-2796000,S81*45%-4796000)))))),0),-2)+ROUNDDOWN(ROUNDDOWN(MAX(IF(S81&lt;=1949000,S81*5%,IF(S81&lt;=3299000,S81*10%-97500,IF(S81&lt;=6949000,S81*20%-427500,IF(S81&lt;=8999000,S81*23%-636000,IF(S81&lt;=17999000,S81*33%-1536000,IF(S81&lt;=39999000,S81*40%-2796000,S81*45%-4796000)))))),0),-2)*2.1%,0)</x:f>
        <x:v>774428</x:v>
      </x:c>
      <x:c r="U81" s="134" t="n">
        <x:f>ROUNDDOWN(MAX(($AI$8+R81)-IF(($AI$8+R81)&lt;=24000000,430000,IF(($AI$8+R81)&lt;=24500000,290000,IF(($AI$8+R81)&lt;=25000000,150000,0)))-$AI$10,0),-3)</x:f>
        <x:v>6120000</x:v>
      </x:c>
      <x:c r="V81" s="134" t="n">
        <x:f>ROUNDDOWN(U81*10%,0)+5000</x:f>
        <x:v>617000</x:v>
      </x:c>
      <x:c r="W81" s="134" t="n">
        <x:f>IF($AI$20="OK",$AI$16-(T81+V81),0)</x:f>
        <x:v>0</x:v>
      </x:c>
      <x:c r="X81" s="134" t="n">
        <x:f>F81+W81</x:f>
        <x:v>-1141479.3872766164</x:v>
      </x:c>
      <x:c r="Y81" s="134" t="n">
        <x:f>Y80+X81</x:f>
        <x:v>-15491599.69514837</x:v>
      </x:c>
      <x:c r="Z81" s="134" t="n">
        <x:f>MAX(Z80-M81,0)</x:f>
        <x:v>0</x:v>
      </x:c>
      <x:c r="AA81" s="134" t="n">
        <x:f>MAX(AA80-N81,0)</x:f>
        <x:v>0</x:v>
      </x:c>
      <x:c r="AB81" s="134" t="n">
        <x:f>MAX('診断'!$C$7-'診断'!$C$50,0)+Z81+AA81+'診断'!$C$57</x:f>
        <x:v>35000000</x:v>
      </x:c>
      <x:c r="AC81" s="134" t="n">
        <x:f>MAX(J81-AB81-(J81*'診断'!$C$24+'診断'!$C$25)-'診断'!$C$58,0)</x:f>
        <x:v>0</x:v>
      </x:c>
      <x:c r="AD81" s="134" t="n">
        <x:f>IF($AI$20&lt;&gt;"OK",0,AC81*IF(AG81="長期",15%+5%+15%*2.1%,30%+9%+30%*2.1%))</x:f>
        <x:v>0</x:v>
      </x:c>
      <x:c r="AE81" s="134" t="n">
        <x:f>J81-(J81*'診断'!$C$24+'診断'!$C$25)-I81-AD81</x:f>
        <x:v>-3619980.967569623</x:v>
      </x:c>
      <x:c r="AF81" s="134" t="n">
        <x:f>Y81+AE81-MAX(0,'診断'!$C$7+'診断'!$C$8-'診断'!$C$9)</x:f>
        <x:v>-19611580.66271799</x:v>
      </x:c>
      <x:c r="AG81" s="406" t="str">
        <x:f>IF('診断'!$C$49&lt;DATE(YEAR('診断'!$C$49)+A81-1-5,1,1),"長期","短期")</x:f>
        <x:v>長期</x:v>
      </x:c>
    </x:row>
    <x:row r="82" ht="20" customHeight="1">
      <x:c r="A82" s="197" t="n">
        <x:v>15</x:v>
      </x:c>
      <x:c r="B82" s="242" t="n">
        <x:f>'診断'!$C$12*12*'診断'!$B$30*'診断'!$B$31*(1-'診断'!$C$19)^(A82-1)</x:f>
        <x:v>1112523.4245103442</x:v>
      </x:c>
      <x:c r="C82" s="242" t="n">
        <x:f>(('診断'!$C$13+'診断'!$C$14)*12+'診断'!$C$21+'診断'!$C$22+B82*'診断'!$C$15)*'診断'!$B$33+'診断'!$C$23*'診断'!$B$34</x:f>
        <x:v>644532.7140318966</x:v>
      </x:c>
      <x:c r="D82" s="242" t="n">
        <x:f>B82-C82</x:f>
        <x:v>467990.7104784476</x:v>
      </x:c>
      <x:c r="E82" s="242" t="n">
        <x:f>IF(A82&lt;='診断'!$C$11,-PMT('診断'!$B$32/12,'診断'!$C$11*12,'診断'!$C$9)*12,0)</x:f>
        <x:v>1614711.257104202</x:v>
      </x:c>
      <x:c r="F82" s="242" t="n">
        <x:f>D82-E82</x:f>
        <x:v>-1146720.5466257543</x:v>
      </x:c>
      <x:c r="G82" s="242" t="n">
        <x:f>G81+F82</x:f>
        <x:v>-16638320.241774123</x:v>
      </x:c>
      <x:c r="H82" s="242" t="n">
        <x:f>H81+MAX(0,-F82)</x:f>
        <x:v>16638320.241774123</x:v>
      </x:c>
      <x:c r="I82" s="242" t="n">
        <x:f>IF(A82&gt;='診断'!$C$11,0,MAX(0,-FV('診断'!$B$32/12,A82*12,PMT('診断'!$B$32/12,'診断'!$C$11*12,'診断'!$C$9),'診断'!$C$9)))</x:f>
        <x:v>24706132.036851037</x:v>
      </x:c>
      <x:c r="J82" s="242" t="n">
        <x:f>'診断'!$C$7*(1+'診断'!$B$35)^A82</x:f>
        <x:v>22163791.61978762</x:v>
      </x:c>
      <x:c r="K82" s="242" t="n">
        <x:f>J82*(1-'診断'!$C$24)-'診断'!$C$25-I82</x:f>
        <x:v>-3373745.54051641</x:v>
      </x:c>
      <x:c r="L82" s="242" t="n">
        <x:f>MAX(E82-MAX(I81-I82,0),0)</x:f>
        <x:v>705618.5157313596</x:v>
      </x:c>
      <x:c r="M82" s="242" t="n">
        <x:f>IF(OR($AI$20&lt;&gt;"OK",A82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81-1,0)))</x:f>
        <x:v>0</x:v>
      </x:c>
      <x:c r="N82" s="242" t="n">
        <x:f>IF(OR($AI$20&lt;&gt;"OK",A82&gt;'診断'!$C$16),0,MIN('診断'!$C$50*(1-'診断'!$C$53)*ROUNDUP(1/MAX(2,ROUNDDOWN(IF('診断'!$C$52&gt;=15,15*20%,(15-'診断'!$C$52)+'診断'!$C$52*20%),0)),3)*(12)/12,MAX(AA81-1,0)))</x:f>
        <x:v>0</x:v>
      </x:c>
      <x:c r="O82" s="242" t="n">
        <x:f>M82+N82</x:f>
        <x:v>0</x:v>
      </x:c>
      <x:c r="P82" s="134" t="n">
        <x:f>B82-C82-L82-O82</x:f>
        <x:v>-237627.805252912</x:v>
      </x:c>
      <x:c r="Q82" s="134" t="n">
        <x:f>L82*IF('診断'!$C$9&gt;0,$AI$17/'診断'!$C$9,0)</x:f>
        <x:v>686018.0014054885</x:v>
      </x:c>
      <x:c r="R82" s="134" t="n">
        <x:f>IF(P82&gt;=0,P82,MIN(0,P82+Q82))</x:f>
        <x:v>0</x:v>
      </x:c>
      <x:c r="S82" s="134" t="n">
        <x:f>ROUNDDOWN(MAX(($AI$8+R82)-IF(($AI$8+R82)&lt;=4890000,1040000,IF(($AI$8+R82)&lt;=6550000,670000,IF(($AI$8+R82)&lt;=23500000,620000,IF(($AI$8+R82)&lt;=24000000,480000,IF(($AI$8+R82)&lt;=24500000,320000,IF(($AI$8+R82)&lt;=25000000,160000,0))))))-$AI$10,0),-3)</x:f>
        <x:v>5930000</x:v>
      </x:c>
      <x:c r="T82" s="134" t="n">
        <x:f>ROUNDDOWN(MAX(IF(S82&lt;=1949000,S82*5%,IF(S82&lt;=3299000,S82*10%-97500,IF(S82&lt;=6949000,S82*20%-427500,IF(S82&lt;=8999000,S82*23%-636000,IF(S82&lt;=17999000,S82*33%-1536000,IF(S82&lt;=39999000,S82*40%-2796000,S82*45%-4796000)))))),0),-2)+ROUNDDOWN(ROUNDDOWN(MAX(IF(S82&lt;=1949000,S82*5%,IF(S82&lt;=3299000,S82*10%-97500,IF(S82&lt;=6949000,S82*20%-427500,IF(S82&lt;=8999000,S82*23%-636000,IF(S82&lt;=17999000,S82*33%-1536000,IF(S82&lt;=39999000,S82*40%-2796000,S82*45%-4796000)))))),0),-2)*2.1%,0)</x:f>
        <x:v>774428</x:v>
      </x:c>
      <x:c r="U82" s="134" t="n">
        <x:f>ROUNDDOWN(MAX(($AI$8+R82)-IF(($AI$8+R82)&lt;=24000000,430000,IF(($AI$8+R82)&lt;=24500000,290000,IF(($AI$8+R82)&lt;=25000000,150000,0)))-$AI$10,0),-3)</x:f>
        <x:v>6120000</x:v>
      </x:c>
      <x:c r="V82" s="134" t="n">
        <x:f>ROUNDDOWN(U82*10%,0)+5000</x:f>
        <x:v>617000</x:v>
      </x:c>
      <x:c r="W82" s="134" t="n">
        <x:f>IF($AI$20="OK",$AI$16-(T82+V82),0)</x:f>
        <x:v>0</x:v>
      </x:c>
      <x:c r="X82" s="134" t="n">
        <x:f>F82+W82</x:f>
        <x:v>-1146720.5466257543</x:v>
      </x:c>
      <x:c r="Y82" s="134" t="n">
        <x:f>Y81+X82</x:f>
        <x:v>-16638320.241774123</x:v>
      </x:c>
      <x:c r="Z82" s="134" t="n">
        <x:f>MAX(Z81-M82,0)</x:f>
        <x:v>0</x:v>
      </x:c>
      <x:c r="AA82" s="134" t="n">
        <x:f>MAX(AA81-N82,0)</x:f>
        <x:v>0</x:v>
      </x:c>
      <x:c r="AB82" s="134" t="n">
        <x:f>MAX('診断'!$C$7-'診断'!$C$50,0)+Z82+AA82+'診断'!$C$57</x:f>
        <x:v>35000000</x:v>
      </x:c>
      <x:c r="AC82" s="134" t="n">
        <x:f>MAX(J82-AB82-(J82*'診断'!$C$24+'診断'!$C$25)-'診断'!$C$58,0)</x:f>
        <x:v>0</x:v>
      </x:c>
      <x:c r="AD82" s="134" t="n">
        <x:f>IF($AI$20&lt;&gt;"OK",0,AC82*IF(AG82="長期",15%+5%+15%*2.1%,30%+9%+30%*2.1%))</x:f>
        <x:v>0</x:v>
      </x:c>
      <x:c r="AE82" s="134" t="n">
        <x:f>J82-(J82*'診断'!$C$24+'診断'!$C$25)-I82-AD82</x:f>
        <x:v>-3373745.54051641</x:v>
      </x:c>
      <x:c r="AF82" s="134" t="n">
        <x:f>Y82+AE82-MAX(0,'診断'!$C$7+'診断'!$C$8-'診断'!$C$9)</x:f>
        <x:v>-20512065.782290533</x:v>
      </x:c>
      <x:c r="AG82" s="406" t="str">
        <x:f>IF('診断'!$C$49&lt;DATE(YEAR('診断'!$C$49)+A82-1-5,1,1),"長期","短期")</x:f>
        <x:v>長期</x:v>
      </x:c>
    </x:row>
    <x:row r="83" ht="20" customHeight="1">
      <x:c r="A83" s="197" t="n">
        <x:v>16</x:v>
      </x:c>
      <x:c r="B83" s="242" t="n">
        <x:f>'診断'!$C$12*12*'診断'!$B$30*'診断'!$B$31*(1-'診断'!$C$19)^(A83-1)</x:f>
        <x:v>1106960.8073877925</x:v>
      </x:c>
      <x:c r="C83" s="242" t="n">
        <x:f>(('診断'!$C$13+'診断'!$C$14)*12+'診断'!$C$21+'診断'!$C$22+B83*'診断'!$C$15)*'診断'!$B$33+'診断'!$C$23*'診断'!$B$34</x:f>
        <x:v>644185.0504617371</x:v>
      </x:c>
      <x:c r="D83" s="242" t="n">
        <x:f>B83-C83</x:f>
        <x:v>462775.7569260554</x:v>
      </x:c>
      <x:c r="E83" s="242" t="n">
        <x:f>IF(A83&lt;='診断'!$C$11,-PMT('診断'!$B$32/12,'診断'!$C$11*12,'診断'!$C$9)*12,0)</x:f>
        <x:v>1614711.257104202</x:v>
      </x:c>
      <x:c r="F83" s="242" t="n">
        <x:f>D83-E83</x:f>
        <x:v>-1151935.5001781466</x:v>
      </x:c>
      <x:c r="G83" s="242" t="n">
        <x:f>G82+F83</x:f>
        <x:v>-17790255.74195227</x:v>
      </x:c>
      <x:c r="H83" s="242" t="n">
        <x:f>H82+MAX(0,-F83)</x:f>
        <x:v>17790255.74195227</x:v>
      </x:c>
      <x:c r="I83" s="242" t="n">
        <x:f>IF(A83&gt;='診断'!$C$11,0,MAX(0,-FV('診断'!$B$32/12,A83*12,PMT('診断'!$B$32/12,'診断'!$C$11*12,'診断'!$C$9),'診断'!$C$9)))</x:f>
        <x:v>23771255.47725997</x:v>
      </x:c>
      <x:c r="J83" s="242" t="n">
        <x:f>'診断'!$C$7*(1+'診断'!$B$35)^A83</x:f>
        <x:v>21498877.87119399</x:v>
      </x:c>
      <x:c r="K83" s="242" t="n">
        <x:f>J83*(1-'診断'!$C$24)-'診断'!$C$25-I83</x:f>
        <x:v>-3081840.5758153833</x:v>
      </x:c>
      <x:c r="L83" s="242" t="n">
        <x:f>MAX(E83-MAX(I82-I83,0),0)</x:f>
        <x:v>679834.6975131358</x:v>
      </x:c>
      <x:c r="M83" s="242" t="n">
        <x:f>IF(OR($AI$20&lt;&gt;"OK",A83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82-1,0)))</x:f>
        <x:v>0</x:v>
      </x:c>
      <x:c r="N83" s="242" t="n">
        <x:f>IF(OR($AI$20&lt;&gt;"OK",A83&gt;'診断'!$C$16),0,MIN('診断'!$C$50*(1-'診断'!$C$53)*ROUNDUP(1/MAX(2,ROUNDDOWN(IF('診断'!$C$52&gt;=15,15*20%,(15-'診断'!$C$52)+'診断'!$C$52*20%),0)),3)*(12)/12,MAX(AA82-1,0)))</x:f>
        <x:v>0</x:v>
      </x:c>
      <x:c r="O83" s="242" t="n">
        <x:f>M83+N83</x:f>
        <x:v>0</x:v>
      </x:c>
      <x:c r="P83" s="134" t="n">
        <x:f>B83-C83-L83-O83</x:f>
        <x:v>-217058.94058708043</x:v>
      </x:c>
      <x:c r="Q83" s="134" t="n">
        <x:f>L83*IF('診断'!$C$9&gt;0,$AI$17/'診断'!$C$9,0)</x:f>
        <x:v>660950.4003599932</x:v>
      </x:c>
      <x:c r="R83" s="134" t="n">
        <x:f>IF(P83&gt;=0,P83,MIN(0,P83+Q83))</x:f>
        <x:v>0</x:v>
      </x:c>
      <x:c r="S83" s="134" t="n">
        <x:f>ROUNDDOWN(MAX(($AI$8+R83)-IF(($AI$8+R83)&lt;=4890000,1040000,IF(($AI$8+R83)&lt;=6550000,670000,IF(($AI$8+R83)&lt;=23500000,620000,IF(($AI$8+R83)&lt;=24000000,480000,IF(($AI$8+R83)&lt;=24500000,320000,IF(($AI$8+R83)&lt;=25000000,160000,0))))))-$AI$10,0),-3)</x:f>
        <x:v>5930000</x:v>
      </x:c>
      <x:c r="T83" s="134" t="n">
        <x:f>ROUNDDOWN(MAX(IF(S83&lt;=1949000,S83*5%,IF(S83&lt;=3299000,S83*10%-97500,IF(S83&lt;=6949000,S83*20%-427500,IF(S83&lt;=8999000,S83*23%-636000,IF(S83&lt;=17999000,S83*33%-1536000,IF(S83&lt;=39999000,S83*40%-2796000,S83*45%-4796000)))))),0),-2)+ROUNDDOWN(ROUNDDOWN(MAX(IF(S83&lt;=1949000,S83*5%,IF(S83&lt;=3299000,S83*10%-97500,IF(S83&lt;=6949000,S83*20%-427500,IF(S83&lt;=8999000,S83*23%-636000,IF(S83&lt;=17999000,S83*33%-1536000,IF(S83&lt;=39999000,S83*40%-2796000,S83*45%-4796000)))))),0),-2)*2.1%,0)</x:f>
        <x:v>774428</x:v>
      </x:c>
      <x:c r="U83" s="134" t="n">
        <x:f>ROUNDDOWN(MAX(($AI$8+R83)-IF(($AI$8+R83)&lt;=24000000,430000,IF(($AI$8+R83)&lt;=24500000,290000,IF(($AI$8+R83)&lt;=25000000,150000,0)))-$AI$10,0),-3)</x:f>
        <x:v>6120000</x:v>
      </x:c>
      <x:c r="V83" s="134" t="n">
        <x:f>ROUNDDOWN(U83*10%,0)+5000</x:f>
        <x:v>617000</x:v>
      </x:c>
      <x:c r="W83" s="134" t="n">
        <x:f>IF($AI$20="OK",$AI$16-(T83+V83),0)</x:f>
        <x:v>0</x:v>
      </x:c>
      <x:c r="X83" s="134" t="n">
        <x:f>F83+W83</x:f>
        <x:v>-1151935.5001781466</x:v>
      </x:c>
      <x:c r="Y83" s="134" t="n">
        <x:f>Y82+X83</x:f>
        <x:v>-17790255.74195227</x:v>
      </x:c>
      <x:c r="Z83" s="134" t="n">
        <x:f>MAX(Z82-M83,0)</x:f>
        <x:v>0</x:v>
      </x:c>
      <x:c r="AA83" s="134" t="n">
        <x:f>MAX(AA82-N83,0)</x:f>
        <x:v>0</x:v>
      </x:c>
      <x:c r="AB83" s="134" t="n">
        <x:f>MAX('診断'!$C$7-'診断'!$C$50,0)+Z83+AA83+'診断'!$C$57</x:f>
        <x:v>35000000</x:v>
      </x:c>
      <x:c r="AC83" s="134" t="n">
        <x:f>MAX(J83-AB83-(J83*'診断'!$C$24+'診断'!$C$25)-'診断'!$C$58,0)</x:f>
        <x:v>0</x:v>
      </x:c>
      <x:c r="AD83" s="134" t="n">
        <x:f>IF($AI$20&lt;&gt;"OK",0,AC83*IF(AG83="長期",15%+5%+15%*2.1%,30%+9%+30%*2.1%))</x:f>
        <x:v>0</x:v>
      </x:c>
      <x:c r="AE83" s="134" t="n">
        <x:f>J83-(J83*'診断'!$C$24+'診断'!$C$25)-I83-AD83</x:f>
        <x:v>-3081840.5758153833</x:v>
      </x:c>
      <x:c r="AF83" s="134" t="n">
        <x:f>Y83+AE83-MAX(0,'診断'!$C$7+'診断'!$C$8-'診断'!$C$9)</x:f>
        <x:v>-21372096.317767654</x:v>
      </x:c>
      <x:c r="AG83" s="406" t="str">
        <x:f>IF('診断'!$C$49&lt;DATE(YEAR('診断'!$C$49)+A83-1-5,1,1),"長期","短期")</x:f>
        <x:v>長期</x:v>
      </x:c>
    </x:row>
    <x:row r="84" ht="20" customHeight="1">
      <x:c r="A84" s="197" t="n">
        <x:v>17</x:v>
      </x:c>
      <x:c r="B84" s="242" t="n">
        <x:f>'診断'!$C$12*12*'診断'!$B$30*'診断'!$B$31*(1-'診断'!$C$19)^(A84-1)</x:f>
        <x:v>1101426.0033508535</x:v>
      </x:c>
      <x:c r="C84" s="242" t="n">
        <x:f>(('診断'!$C$13+'診断'!$C$14)*12+'診断'!$C$21+'診断'!$C$22+B84*'診断'!$C$15)*'診断'!$B$33+'診断'!$C$23*'診断'!$B$34</x:f>
        <x:v>643839.1252094284</x:v>
      </x:c>
      <x:c r="D84" s="242" t="n">
        <x:f>B84-C84</x:f>
        <x:v>457586.8781414251</x:v>
      </x:c>
      <x:c r="E84" s="242" t="n">
        <x:f>IF(A84&lt;='診断'!$C$11,-PMT('診断'!$B$32/12,'診断'!$C$11*12,'診断'!$C$9)*12,0)</x:f>
        <x:v>1614711.257104202</x:v>
      </x:c>
      <x:c r="F84" s="242" t="n">
        <x:f>D84-E84</x:f>
        <x:v>-1157124.3789627769</x:v>
      </x:c>
      <x:c r="G84" s="242" t="n">
        <x:f>G83+F84</x:f>
        <x:v>-18947380.120915048</x:v>
      </x:c>
      <x:c r="H84" s="242" t="n">
        <x:f>H83+MAX(0,-F84)</x:f>
        <x:v>18947380.120915048</x:v>
      </x:c>
      <x:c r="I84" s="242" t="n">
        <x:f>IF(A84&gt;='診断'!$C$11,0,MAX(0,-FV('診断'!$B$32/12,A84*12,PMT('診断'!$B$32/12,'診断'!$C$11*12,'診断'!$C$9),'診断'!$C$9)))</x:f>
        <x:v>22809863.8151145</x:v>
      </x:c>
      <x:c r="J84" s="242" t="n">
        <x:f>'診断'!$C$7*(1+'診断'!$B$35)^A84</x:f>
        <x:v>20853911.53505817</x:v>
      </x:c>
      <x:c r="K84" s="242" t="n">
        <x:f>J84*(1-'診断'!$C$24)-'診断'!$C$25-I84</x:f>
        <x:v>-2744131.360713247</x:v>
      </x:c>
      <x:c r="L84" s="242" t="n">
        <x:f>MAX(E84-MAX(I83-I84,0),0)</x:f>
        <x:v>653319.5949587289</x:v>
      </x:c>
      <x:c r="M84" s="242" t="n">
        <x:f>IF(OR($AI$20&lt;&gt;"OK",A84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83-1,0)))</x:f>
        <x:v>0</x:v>
      </x:c>
      <x:c r="N84" s="242" t="n">
        <x:f>IF(OR($AI$20&lt;&gt;"OK",A84&gt;'診断'!$C$16),0,MIN('診断'!$C$50*(1-'診断'!$C$53)*ROUNDUP(1/MAX(2,ROUNDDOWN(IF('診断'!$C$52&gt;=15,15*20%,(15-'診断'!$C$52)+'診断'!$C$52*20%),0)),3)*(12)/12,MAX(AA83-1,0)))</x:f>
        <x:v>0</x:v>
      </x:c>
      <x:c r="O84" s="242" t="n">
        <x:f>M84+N84</x:f>
        <x:v>0</x:v>
      </x:c>
      <x:c r="P84" s="134" t="n">
        <x:f>B84-C84-L84-O84</x:f>
        <x:v>-195732.7168173038</x:v>
      </x:c>
      <x:c r="Q84" s="134" t="n">
        <x:f>L84*IF('診断'!$C$9&gt;0,$AI$17/'診断'!$C$9,0)</x:f>
        <x:v>635171.8284320976</x:v>
      </x:c>
      <x:c r="R84" s="134" t="n">
        <x:f>IF(P84&gt;=0,P84,MIN(0,P84+Q84))</x:f>
        <x:v>0</x:v>
      </x:c>
      <x:c r="S84" s="134" t="n">
        <x:f>ROUNDDOWN(MAX(($AI$8+R84)-IF(($AI$8+R84)&lt;=4890000,1040000,IF(($AI$8+R84)&lt;=6550000,670000,IF(($AI$8+R84)&lt;=23500000,620000,IF(($AI$8+R84)&lt;=24000000,480000,IF(($AI$8+R84)&lt;=24500000,320000,IF(($AI$8+R84)&lt;=25000000,160000,0))))))-$AI$10,0),-3)</x:f>
        <x:v>5930000</x:v>
      </x:c>
      <x:c r="T84" s="134" t="n">
        <x:f>ROUNDDOWN(MAX(IF(S84&lt;=1949000,S84*5%,IF(S84&lt;=3299000,S84*10%-97500,IF(S84&lt;=6949000,S84*20%-427500,IF(S84&lt;=8999000,S84*23%-636000,IF(S84&lt;=17999000,S84*33%-1536000,IF(S84&lt;=39999000,S84*40%-2796000,S84*45%-4796000)))))),0),-2)+ROUNDDOWN(ROUNDDOWN(MAX(IF(S84&lt;=1949000,S84*5%,IF(S84&lt;=3299000,S84*10%-97500,IF(S84&lt;=6949000,S84*20%-427500,IF(S84&lt;=8999000,S84*23%-636000,IF(S84&lt;=17999000,S84*33%-1536000,IF(S84&lt;=39999000,S84*40%-2796000,S84*45%-4796000)))))),0),-2)*2.1%,0)</x:f>
        <x:v>774428</x:v>
      </x:c>
      <x:c r="U84" s="134" t="n">
        <x:f>ROUNDDOWN(MAX(($AI$8+R84)-IF(($AI$8+R84)&lt;=24000000,430000,IF(($AI$8+R84)&lt;=24500000,290000,IF(($AI$8+R84)&lt;=25000000,150000,0)))-$AI$10,0),-3)</x:f>
        <x:v>6120000</x:v>
      </x:c>
      <x:c r="V84" s="134" t="n">
        <x:f>ROUNDDOWN(U84*10%,0)+5000</x:f>
        <x:v>617000</x:v>
      </x:c>
      <x:c r="W84" s="134" t="n">
        <x:f>IF($AI$20="OK",$AI$16-(T84+V84),0)</x:f>
        <x:v>0</x:v>
      </x:c>
      <x:c r="X84" s="134" t="n">
        <x:f>F84+W84</x:f>
        <x:v>-1157124.3789627769</x:v>
      </x:c>
      <x:c r="Y84" s="134" t="n">
        <x:f>Y83+X84</x:f>
        <x:v>-18947380.120915048</x:v>
      </x:c>
      <x:c r="Z84" s="134" t="n">
        <x:f>MAX(Z83-M84,0)</x:f>
        <x:v>0</x:v>
      </x:c>
      <x:c r="AA84" s="134" t="n">
        <x:f>MAX(AA83-N84,0)</x:f>
        <x:v>0</x:v>
      </x:c>
      <x:c r="AB84" s="134" t="n">
        <x:f>MAX('診断'!$C$7-'診断'!$C$50,0)+Z84+AA84+'診断'!$C$57</x:f>
        <x:v>35000000</x:v>
      </x:c>
      <x:c r="AC84" s="134" t="n">
        <x:f>MAX(J84-AB84-(J84*'診断'!$C$24+'診断'!$C$25)-'診断'!$C$58,0)</x:f>
        <x:v>0</x:v>
      </x:c>
      <x:c r="AD84" s="134" t="n">
        <x:f>IF($AI$20&lt;&gt;"OK",0,AC84*IF(AG84="長期",15%+5%+15%*2.1%,30%+9%+30%*2.1%))</x:f>
        <x:v>0</x:v>
      </x:c>
      <x:c r="AE84" s="134" t="n">
        <x:f>J84-(J84*'診断'!$C$24+'診断'!$C$25)-I84-AD84</x:f>
        <x:v>-2744131.360713247</x:v>
      </x:c>
      <x:c r="AF84" s="134" t="n">
        <x:f>Y84+AE84-MAX(0,'診断'!$C$7+'診断'!$C$8-'診断'!$C$9)</x:f>
        <x:v>-22191511.481628295</x:v>
      </x:c>
      <x:c r="AG84" s="406" t="str">
        <x:f>IF('診断'!$C$49&lt;DATE(YEAR('診断'!$C$49)+A84-1-5,1,1),"長期","短期")</x:f>
        <x:v>長期</x:v>
      </x:c>
    </x:row>
    <x:row r="85" ht="20" customHeight="1">
      <x:c r="A85" s="197" t="n">
        <x:v>18</x:v>
      </x:c>
      <x:c r="B85" s="242" t="n">
        <x:f>'診断'!$C$12*12*'診断'!$B$30*'診断'!$B$31*(1-'診断'!$C$19)^(A85-1)</x:f>
        <x:v>1095918.873334099</x:v>
      </x:c>
      <x:c r="C85" s="242" t="n">
        <x:f>(('診断'!$C$13+'診断'!$C$14)*12+'診断'!$C$21+'診断'!$C$22+B85*'診断'!$C$15)*'診断'!$B$33+'診断'!$C$23*'診断'!$B$34</x:f>
        <x:v>643494.9295833812</x:v>
      </x:c>
      <x:c r="D85" s="242" t="n">
        <x:f>B85-C85</x:f>
        <x:v>452423.9437507179</x:v>
      </x:c>
      <x:c r="E85" s="242" t="n">
        <x:f>IF(A85&lt;='診断'!$C$11,-PMT('診断'!$B$32/12,'診断'!$C$11*12,'診断'!$C$9)*12,0)</x:f>
        <x:v>1614711.257104202</x:v>
      </x:c>
      <x:c r="F85" s="242" t="n">
        <x:f>D85-E85</x:f>
        <x:v>-1162287.313353484</x:v>
      </x:c>
      <x:c r="G85" s="242" t="n">
        <x:f>G84+F85</x:f>
        <x:v>-20109667.43426853</x:v>
      </x:c>
      <x:c r="H85" s="242" t="n">
        <x:f>H84+MAX(0,-F85)</x:f>
        <x:v>20109667.43426853</x:v>
      </x:c>
      <x:c r="I85" s="242" t="n">
        <x:f>IF(A85&gt;='診断'!$C$11,0,MAX(0,-FV('診断'!$B$32/12,A85*12,PMT('診断'!$B$32/12,'診断'!$C$11*12,'診断'!$C$9),'診断'!$C$9)))</x:f>
        <x:v>21821205.02528759</x:v>
      </x:c>
      <x:c r="J85" s="242" t="n">
        <x:f>'診断'!$C$7*(1+'診断'!$B$35)^A85</x:f>
        <x:v>20228294.189006425</x:v>
      </x:c>
      <x:c r="K85" s="242" t="n">
        <x:f>J85*(1-'診断'!$C$24)-'診断'!$C$25-I85</x:f>
        <x:v>-2360444.5445183776</x:v>
      </x:c>
      <x:c r="L85" s="242" t="n">
        <x:f>MAX(E85-MAX(I84-I85,0),0)</x:f>
        <x:v>626052.4672772947</x:v>
      </x:c>
      <x:c r="M85" s="242" t="n">
        <x:f>IF(OR($AI$20&lt;&gt;"OK",A85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84-1,0)))</x:f>
        <x:v>0</x:v>
      </x:c>
      <x:c r="N85" s="242" t="n">
        <x:f>IF(OR($AI$20&lt;&gt;"OK",A85&gt;'診断'!$C$16),0,MIN('診断'!$C$50*(1-'診断'!$C$53)*ROUNDUP(1/MAX(2,ROUNDDOWN(IF('診断'!$C$52&gt;=15,15*20%,(15-'診断'!$C$52)+'診断'!$C$52*20%),0)),3)*(12)/12,MAX(AA84-1,0)))</x:f>
        <x:v>0</x:v>
      </x:c>
      <x:c r="O85" s="242" t="n">
        <x:f>M85+N85</x:f>
        <x:v>0</x:v>
      </x:c>
      <x:c r="P85" s="134" t="n">
        <x:f>B85-C85-L85-O85</x:f>
        <x:v>-173628.5235265768</x:v>
      </x:c>
      <x:c r="Q85" s="134" t="n">
        <x:f>L85*IF('診断'!$C$9&gt;0,$AI$17/'診断'!$C$9,0)</x:f>
        <x:v>608662.1209640366</x:v>
      </x:c>
      <x:c r="R85" s="134" t="n">
        <x:f>IF(P85&gt;=0,P85,MIN(0,P85+Q85))</x:f>
        <x:v>0</x:v>
      </x:c>
      <x:c r="S85" s="134" t="n">
        <x:f>ROUNDDOWN(MAX(($AI$8+R85)-IF(($AI$8+R85)&lt;=4890000,1040000,IF(($AI$8+R85)&lt;=6550000,670000,IF(($AI$8+R85)&lt;=23500000,620000,IF(($AI$8+R85)&lt;=24000000,480000,IF(($AI$8+R85)&lt;=24500000,320000,IF(($AI$8+R85)&lt;=25000000,160000,0))))))-$AI$10,0),-3)</x:f>
        <x:v>5930000</x:v>
      </x:c>
      <x:c r="T85" s="134" t="n">
        <x:f>ROUNDDOWN(MAX(IF(S85&lt;=1949000,S85*5%,IF(S85&lt;=3299000,S85*10%-97500,IF(S85&lt;=6949000,S85*20%-427500,IF(S85&lt;=8999000,S85*23%-636000,IF(S85&lt;=17999000,S85*33%-1536000,IF(S85&lt;=39999000,S85*40%-2796000,S85*45%-4796000)))))),0),-2)+ROUNDDOWN(ROUNDDOWN(MAX(IF(S85&lt;=1949000,S85*5%,IF(S85&lt;=3299000,S85*10%-97500,IF(S85&lt;=6949000,S85*20%-427500,IF(S85&lt;=8999000,S85*23%-636000,IF(S85&lt;=17999000,S85*33%-1536000,IF(S85&lt;=39999000,S85*40%-2796000,S85*45%-4796000)))))),0),-2)*2.1%,0)</x:f>
        <x:v>774428</x:v>
      </x:c>
      <x:c r="U85" s="134" t="n">
        <x:f>ROUNDDOWN(MAX(($AI$8+R85)-IF(($AI$8+R85)&lt;=24000000,430000,IF(($AI$8+R85)&lt;=24500000,290000,IF(($AI$8+R85)&lt;=25000000,150000,0)))-$AI$10,0),-3)</x:f>
        <x:v>6120000</x:v>
      </x:c>
      <x:c r="V85" s="134" t="n">
        <x:f>ROUNDDOWN(U85*10%,0)+5000</x:f>
        <x:v>617000</x:v>
      </x:c>
      <x:c r="W85" s="134" t="n">
        <x:f>IF($AI$20="OK",$AI$16-(T85+V85),0)</x:f>
        <x:v>0</x:v>
      </x:c>
      <x:c r="X85" s="134" t="n">
        <x:f>F85+W85</x:f>
        <x:v>-1162287.313353484</x:v>
      </x:c>
      <x:c r="Y85" s="134" t="n">
        <x:f>Y84+X85</x:f>
        <x:v>-20109667.43426853</x:v>
      </x:c>
      <x:c r="Z85" s="134" t="n">
        <x:f>MAX(Z84-M85,0)</x:f>
        <x:v>0</x:v>
      </x:c>
      <x:c r="AA85" s="134" t="n">
        <x:f>MAX(AA84-N85,0)</x:f>
        <x:v>0</x:v>
      </x:c>
      <x:c r="AB85" s="134" t="n">
        <x:f>MAX('診断'!$C$7-'診断'!$C$50,0)+Z85+AA85+'診断'!$C$57</x:f>
        <x:v>35000000</x:v>
      </x:c>
      <x:c r="AC85" s="134" t="n">
        <x:f>MAX(J85-AB85-(J85*'診断'!$C$24+'診断'!$C$25)-'診断'!$C$58,0)</x:f>
        <x:v>0</x:v>
      </x:c>
      <x:c r="AD85" s="134" t="n">
        <x:f>IF($AI$20&lt;&gt;"OK",0,AC85*IF(AG85="長期",15%+5%+15%*2.1%,30%+9%+30%*2.1%))</x:f>
        <x:v>0</x:v>
      </x:c>
      <x:c r="AE85" s="134" t="n">
        <x:f>J85-(J85*'診断'!$C$24+'診断'!$C$25)-I85-AD85</x:f>
        <x:v>-2360444.5445183776</x:v>
      </x:c>
      <x:c r="AF85" s="134" t="n">
        <x:f>Y85+AE85-MAX(0,'診断'!$C$7+'診断'!$C$8-'診断'!$C$9)</x:f>
        <x:v>-22970111.978786908</x:v>
      </x:c>
      <x:c r="AG85" s="406" t="str">
        <x:f>IF('診断'!$C$49&lt;DATE(YEAR('診断'!$C$49)+A85-1-5,1,1),"長期","短期")</x:f>
        <x:v>長期</x:v>
      </x:c>
    </x:row>
    <x:row r="86" ht="20" customHeight="1">
      <x:c r="A86" s="197" t="n">
        <x:v>19</x:v>
      </x:c>
      <x:c r="B86" s="242" t="n">
        <x:f>'診断'!$C$12*12*'診断'!$B$30*'診断'!$B$31*(1-'診断'!$C$19)^(A86-1)</x:f>
        <x:v>1090439.2789674287</x:v>
      </x:c>
      <x:c r="C86" s="242" t="n">
        <x:f>(('診断'!$C$13+'診断'!$C$14)*12+'診断'!$C$21+'診断'!$C$22+B86*'診断'!$C$15)*'診断'!$B$33+'診断'!$C$23*'診断'!$B$34</x:f>
        <x:v>643152.4549354643</x:v>
      </x:c>
      <x:c r="D86" s="242" t="n">
        <x:f>B86-C86</x:f>
        <x:v>447286.8240319644</x:v>
      </x:c>
      <x:c r="E86" s="242" t="n">
        <x:f>IF(A86&lt;='診断'!$C$11,-PMT('診断'!$B$32/12,'診断'!$C$11*12,'診断'!$C$9)*12,0)</x:f>
        <x:v>1614711.257104202</x:v>
      </x:c>
      <x:c r="F86" s="242" t="n">
        <x:f>D86-E86</x:f>
        <x:v>-1167424.4330722375</x:v>
      </x:c>
      <x:c r="G86" s="242" t="n">
        <x:f>G85+F86</x:f>
        <x:v>-21277091.86734077</x:v>
      </x:c>
      <x:c r="H86" s="242" t="n">
        <x:f>H85+MAX(0,-F86)</x:f>
        <x:v>21277091.86734077</x:v>
      </x:c>
      <x:c r="I86" s="242" t="n">
        <x:f>IF(A86&gt;='診断'!$C$11,0,MAX(0,-FV('診断'!$B$32/12,A86*12,PMT('診断'!$B$32/12,'診断'!$C$11*12,'診断'!$C$9),'診断'!$C$9)))</x:f>
        <x:v>20804505.753608167</x:v>
      </x:c>
      <x:c r="J86" s="242" t="n">
        <x:f>'診断'!$C$7*(1+'診断'!$B$35)^A86</x:f>
        <x:v>19621445.36333623</x:v>
      </x:c>
      <x:c r="K86" s="242" t="n">
        <x:f>J86*(1-'診断'!$C$24)-'診断'!$C$25-I86</x:f>
        <x:v>-1930568.0872620307</x:v>
      </x:c>
      <x:c r="L86" s="242" t="n">
        <x:f>MAX(E86-MAX(I85-I86,0),0)</x:f>
        <x:v>598011.9854247782</x:v>
      </x:c>
      <x:c r="M86" s="242" t="n">
        <x:f>IF(OR($AI$20&lt;&gt;"OK",A86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85-1,0)))</x:f>
        <x:v>0</x:v>
      </x:c>
      <x:c r="N86" s="242" t="n">
        <x:f>IF(OR($AI$20&lt;&gt;"OK",A86&gt;'診断'!$C$16),0,MIN('診断'!$C$50*(1-'診断'!$C$53)*ROUNDUP(1/MAX(2,ROUNDDOWN(IF('診断'!$C$52&gt;=15,15*20%,(15-'診断'!$C$52)+'診断'!$C$52*20%),0)),3)*(12)/12,MAX(AA85-1,0)))</x:f>
        <x:v>0</x:v>
      </x:c>
      <x:c r="O86" s="242" t="n">
        <x:f>M86+N86</x:f>
        <x:v>0</x:v>
      </x:c>
      <x:c r="P86" s="134" t="n">
        <x:f>B86-C86-L86-O86</x:f>
        <x:v>-150725.16139281378</x:v>
      </x:c>
      <x:c r="Q86" s="134" t="n">
        <x:f>L86*IF('診断'!$C$9&gt;0,$AI$17/'診断'!$C$9,0)</x:f>
        <x:v>581400.541385201</x:v>
      </x:c>
      <x:c r="R86" s="134" t="n">
        <x:f>IF(P86&gt;=0,P86,MIN(0,P86+Q86))</x:f>
        <x:v>0</x:v>
      </x:c>
      <x:c r="S86" s="134" t="n">
        <x:f>ROUNDDOWN(MAX(($AI$8+R86)-IF(($AI$8+R86)&lt;=4890000,1040000,IF(($AI$8+R86)&lt;=6550000,670000,IF(($AI$8+R86)&lt;=23500000,620000,IF(($AI$8+R86)&lt;=24000000,480000,IF(($AI$8+R86)&lt;=24500000,320000,IF(($AI$8+R86)&lt;=25000000,160000,0))))))-$AI$10,0),-3)</x:f>
        <x:v>5930000</x:v>
      </x:c>
      <x:c r="T86" s="134" t="n">
        <x:f>ROUNDDOWN(MAX(IF(S86&lt;=1949000,S86*5%,IF(S86&lt;=3299000,S86*10%-97500,IF(S86&lt;=6949000,S86*20%-427500,IF(S86&lt;=8999000,S86*23%-636000,IF(S86&lt;=17999000,S86*33%-1536000,IF(S86&lt;=39999000,S86*40%-2796000,S86*45%-4796000)))))),0),-2)+ROUNDDOWN(ROUNDDOWN(MAX(IF(S86&lt;=1949000,S86*5%,IF(S86&lt;=3299000,S86*10%-97500,IF(S86&lt;=6949000,S86*20%-427500,IF(S86&lt;=8999000,S86*23%-636000,IF(S86&lt;=17999000,S86*33%-1536000,IF(S86&lt;=39999000,S86*40%-2796000,S86*45%-4796000)))))),0),-2)*2.1%,0)</x:f>
        <x:v>774428</x:v>
      </x:c>
      <x:c r="U86" s="134" t="n">
        <x:f>ROUNDDOWN(MAX(($AI$8+R86)-IF(($AI$8+R86)&lt;=24000000,430000,IF(($AI$8+R86)&lt;=24500000,290000,IF(($AI$8+R86)&lt;=25000000,150000,0)))-$AI$10,0),-3)</x:f>
        <x:v>6120000</x:v>
      </x:c>
      <x:c r="V86" s="134" t="n">
        <x:f>ROUNDDOWN(U86*10%,0)+5000</x:f>
        <x:v>617000</x:v>
      </x:c>
      <x:c r="W86" s="134" t="n">
        <x:f>IF($AI$20="OK",$AI$16-(T86+V86),0)</x:f>
        <x:v>0</x:v>
      </x:c>
      <x:c r="X86" s="134" t="n">
        <x:f>F86+W86</x:f>
        <x:v>-1167424.4330722375</x:v>
      </x:c>
      <x:c r="Y86" s="134" t="n">
        <x:f>Y85+X86</x:f>
        <x:v>-21277091.86734077</x:v>
      </x:c>
      <x:c r="Z86" s="134" t="n">
        <x:f>MAX(Z85-M86,0)</x:f>
        <x:v>0</x:v>
      </x:c>
      <x:c r="AA86" s="134" t="n">
        <x:f>MAX(AA85-N86,0)</x:f>
        <x:v>0</x:v>
      </x:c>
      <x:c r="AB86" s="134" t="n">
        <x:f>MAX('診断'!$C$7-'診断'!$C$50,0)+Z86+AA86+'診断'!$C$57</x:f>
        <x:v>35000000</x:v>
      </x:c>
      <x:c r="AC86" s="134" t="n">
        <x:f>MAX(J86-AB86-(J86*'診断'!$C$24+'診断'!$C$25)-'診断'!$C$58,0)</x:f>
        <x:v>0</x:v>
      </x:c>
      <x:c r="AD86" s="134" t="n">
        <x:f>IF($AI$20&lt;&gt;"OK",0,AC86*IF(AG86="長期",15%+5%+15%*2.1%,30%+9%+30%*2.1%))</x:f>
        <x:v>0</x:v>
      </x:c>
      <x:c r="AE86" s="134" t="n">
        <x:f>J86-(J86*'診断'!$C$24+'診断'!$C$25)-I86-AD86</x:f>
        <x:v>-1930568.0872620307</x:v>
      </x:c>
      <x:c r="AF86" s="134" t="n">
        <x:f>Y86+AE86-MAX(0,'診断'!$C$7+'診断'!$C$8-'診断'!$C$9)</x:f>
        <x:v>-23707659.9546028</x:v>
      </x:c>
      <x:c r="AG86" s="406" t="str">
        <x:f>IF('診断'!$C$49&lt;DATE(YEAR('診断'!$C$49)+A86-1-5,1,1),"長期","短期")</x:f>
        <x:v>長期</x:v>
      </x:c>
    </x:row>
    <x:row r="87" ht="20" customHeight="1">
      <x:c r="A87" s="197" t="n">
        <x:v>20</x:v>
      </x:c>
      <x:c r="B87" s="242" t="n">
        <x:f>'診断'!$C$12*12*'診断'!$B$30*'診断'!$B$31*(1-'診断'!$C$19)^(A87-1)</x:f>
        <x:v>1084987.0825725915</x:v>
      </x:c>
      <x:c r="C87" s="242" t="n">
        <x:f>(('診断'!$C$13+'診断'!$C$14)*12+'診断'!$C$21+'診断'!$C$22+B87*'診断'!$C$15)*'診断'!$B$33+'診断'!$C$23*'診断'!$B$34</x:f>
        <x:v>642811.6926607869</x:v>
      </x:c>
      <x:c r="D87" s="242" t="n">
        <x:f>B87-C87</x:f>
        <x:v>442175.3899118046</x:v>
      </x:c>
      <x:c r="E87" s="242" t="n">
        <x:f>IF(A87&lt;='診断'!$C$11,-PMT('診断'!$B$32/12,'診断'!$C$11*12,'診断'!$C$9)*12,0)</x:f>
        <x:v>1614711.257104202</x:v>
      </x:c>
      <x:c r="F87" s="242" t="n">
        <x:f>D87-E87</x:f>
        <x:v>-1172535.8671923974</x:v>
      </x:c>
      <x:c r="G87" s="242" t="n">
        <x:f>G86+F87</x:f>
        <x:v>-22449627.73453317</x:v>
      </x:c>
      <x:c r="H87" s="242" t="n">
        <x:f>H86+MAX(0,-F87)</x:f>
        <x:v>22449627.73453317</x:v>
      </x:c>
      <x:c r="I87" s="242" t="n">
        <x:f>IF(A87&gt;='診断'!$C$11,0,MAX(0,-FV('診断'!$B$32/12,A87*12,PMT('診断'!$B$32/12,'診断'!$C$11*12,'診断'!$C$9),'診断'!$C$9)))</x:f>
        <x:v>19758970.711923584</x:v>
      </x:c>
      <x:c r="J87" s="242" t="n">
        <x:f>'診断'!$C$7*(1+'診断'!$B$35)^A87</x:f>
        <x:v>19032802.002436146</x:v>
      </x:c>
      <x:c r="K87" s="242" t="n">
        <x:f>J87*(1-'診断'!$C$24)-'診断'!$C$25-I87</x:f>
        <x:v>-1454251.1755678318</x:v>
      </x:c>
      <x:c r="L87" s="242" t="n">
        <x:f>MAX(E87-MAX(I86-I87,0),0)</x:f>
        <x:v>569176.2154196191</x:v>
      </x:c>
      <x:c r="M87" s="242" t="n">
        <x:f>IF(OR($AI$20&lt;&gt;"OK",A87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86-1,0)))</x:f>
        <x:v>0</x:v>
      </x:c>
      <x:c r="N87" s="242" t="n">
        <x:f>IF(OR($AI$20&lt;&gt;"OK",A87&gt;'診断'!$C$16),0,MIN('診断'!$C$50*(1-'診断'!$C$53)*ROUNDUP(1/MAX(2,ROUNDDOWN(IF('診断'!$C$52&gt;=15,15*20%,(15-'診断'!$C$52)+'診断'!$C$52*20%),0)),3)*(12)/12,MAX(AA86-1,0)))</x:f>
        <x:v>0</x:v>
      </x:c>
      <x:c r="O87" s="242" t="n">
        <x:f>M87+N87</x:f>
        <x:v>0</x:v>
      </x:c>
      <x:c r="P87" s="134" t="n">
        <x:f>B87-C87-L87-O87</x:f>
        <x:v>-127000.82550781453</x:v>
      </x:c>
      <x:c r="Q87" s="134" t="n">
        <x:f>L87*IF('診断'!$C$9&gt;0,$AI$17/'診断'!$C$9,0)</x:f>
        <x:v>553365.7649912963</x:v>
      </x:c>
      <x:c r="R87" s="134" t="n">
        <x:f>IF(P87&gt;=0,P87,MIN(0,P87+Q87))</x:f>
        <x:v>0</x:v>
      </x:c>
      <x:c r="S87" s="134" t="n">
        <x:f>ROUNDDOWN(MAX(($AI$8+R87)-IF(($AI$8+R87)&lt;=4890000,1040000,IF(($AI$8+R87)&lt;=6550000,670000,IF(($AI$8+R87)&lt;=23500000,620000,IF(($AI$8+R87)&lt;=24000000,480000,IF(($AI$8+R87)&lt;=24500000,320000,IF(($AI$8+R87)&lt;=25000000,160000,0))))))-$AI$10,0),-3)</x:f>
        <x:v>5930000</x:v>
      </x:c>
      <x:c r="T87" s="134" t="n">
        <x:f>ROUNDDOWN(MAX(IF(S87&lt;=1949000,S87*5%,IF(S87&lt;=3299000,S87*10%-97500,IF(S87&lt;=6949000,S87*20%-427500,IF(S87&lt;=8999000,S87*23%-636000,IF(S87&lt;=17999000,S87*33%-1536000,IF(S87&lt;=39999000,S87*40%-2796000,S87*45%-4796000)))))),0),-2)+ROUNDDOWN(ROUNDDOWN(MAX(IF(S87&lt;=1949000,S87*5%,IF(S87&lt;=3299000,S87*10%-97500,IF(S87&lt;=6949000,S87*20%-427500,IF(S87&lt;=8999000,S87*23%-636000,IF(S87&lt;=17999000,S87*33%-1536000,IF(S87&lt;=39999000,S87*40%-2796000,S87*45%-4796000)))))),0),-2)*2.1%,0)</x:f>
        <x:v>774428</x:v>
      </x:c>
      <x:c r="U87" s="134" t="n">
        <x:f>ROUNDDOWN(MAX(($AI$8+R87)-IF(($AI$8+R87)&lt;=24000000,430000,IF(($AI$8+R87)&lt;=24500000,290000,IF(($AI$8+R87)&lt;=25000000,150000,0)))-$AI$10,0),-3)</x:f>
        <x:v>6120000</x:v>
      </x:c>
      <x:c r="V87" s="134" t="n">
        <x:f>ROUNDDOWN(U87*10%,0)+5000</x:f>
        <x:v>617000</x:v>
      </x:c>
      <x:c r="W87" s="134" t="n">
        <x:f>IF($AI$20="OK",$AI$16-(T87+V87),0)</x:f>
        <x:v>0</x:v>
      </x:c>
      <x:c r="X87" s="134" t="n">
        <x:f>F87+W87</x:f>
        <x:v>-1172535.8671923974</x:v>
      </x:c>
      <x:c r="Y87" s="134" t="n">
        <x:f>Y86+X87</x:f>
        <x:v>-22449627.73453317</x:v>
      </x:c>
      <x:c r="Z87" s="134" t="n">
        <x:f>MAX(Z86-M87,0)</x:f>
        <x:v>0</x:v>
      </x:c>
      <x:c r="AA87" s="134" t="n">
        <x:f>MAX(AA86-N87,0)</x:f>
        <x:v>0</x:v>
      </x:c>
      <x:c r="AB87" s="134" t="n">
        <x:f>MAX('診断'!$C$7-'診断'!$C$50,0)+Z87+AA87+'診断'!$C$57</x:f>
        <x:v>35000000</x:v>
      </x:c>
      <x:c r="AC87" s="134" t="n">
        <x:f>MAX(J87-AB87-(J87*'診断'!$C$24+'診断'!$C$25)-'診断'!$C$58,0)</x:f>
        <x:v>0</x:v>
      </x:c>
      <x:c r="AD87" s="134" t="n">
        <x:f>IF($AI$20&lt;&gt;"OK",0,AC87*IF(AG87="長期",15%+5%+15%*2.1%,30%+9%+30%*2.1%))</x:f>
        <x:v>0</x:v>
      </x:c>
      <x:c r="AE87" s="134" t="n">
        <x:f>J87-(J87*'診断'!$C$24+'診断'!$C$25)-I87-AD87</x:f>
        <x:v>-1454251.1755678318</x:v>
      </x:c>
      <x:c r="AF87" s="134" t="n">
        <x:f>Y87+AE87-MAX(0,'診断'!$C$7+'診断'!$C$8-'診断'!$C$9)</x:f>
        <x:v>-24403878.910101</x:v>
      </x:c>
      <x:c r="AG87" s="406" t="str">
        <x:f>IF('診断'!$C$49&lt;DATE(YEAR('診断'!$C$49)+A87-1-5,1,1),"長期","短期")</x:f>
        <x:v>長期</x:v>
      </x:c>
    </x:row>
    <x:row r="88" ht="20" customHeight="1">
      <x:c r="A88" s="197" t="n">
        <x:v>21</x:v>
      </x:c>
      <x:c r="B88" s="242" t="n">
        <x:f>'診断'!$C$12*12*'診断'!$B$30*'診断'!$B$31*(1-'診断'!$C$19)^(A88-1)</x:f>
        <x:v>1079562.1471597287</x:v>
      </x:c>
      <x:c r="C88" s="242" t="n">
        <x:f>(('診断'!$C$13+'診断'!$C$14)*12+'診断'!$C$21+'診断'!$C$22+B88*'診断'!$C$15)*'診断'!$B$33+'診断'!$C$23*'診断'!$B$34</x:f>
        <x:v>642472.6341974831</x:v>
      </x:c>
      <x:c r="D88" s="242" t="n">
        <x:f>B88-C88</x:f>
        <x:v>437089.5129622456</x:v>
      </x:c>
      <x:c r="E88" s="242" t="n">
        <x:f>IF(A88&lt;='診断'!$C$11,-PMT('診断'!$B$32/12,'診断'!$C$11*12,'診断'!$C$9)*12,0)</x:f>
        <x:v>1614711.257104202</x:v>
      </x:c>
      <x:c r="F88" s="242" t="n">
        <x:f>D88-E88</x:f>
        <x:v>-1177621.7441419563</x:v>
      </x:c>
      <x:c r="G88" s="242" t="n">
        <x:f>G87+F88</x:f>
        <x:v>-23627249.478675123</x:v>
      </x:c>
      <x:c r="H88" s="242" t="n">
        <x:f>H87+MAX(0,-F88)</x:f>
        <x:v>23627249.478675123</x:v>
      </x:c>
      <x:c r="I88" s="242" t="n">
        <x:f>IF(A88&gt;='診断'!$C$11,0,MAX(0,-FV('診断'!$B$32/12,A88*12,PMT('診断'!$B$32/12,'診断'!$C$11*12,'診断'!$C$9),'診断'!$C$9)))</x:f>
        <x:v>18683782.05600503</x:v>
      </x:c>
      <x:c r="J88" s="242" t="n">
        <x:f>'診断'!$C$7*(1+'診断'!$B$35)^A88</x:f>
        <x:v>18461817.94236306</x:v>
      </x:c>
      <x:c r="K88" s="242" t="n">
        <x:f>J88*(1-'診断'!$C$24)-'診断'!$C$25-I88</x:f>
        <x:v>-931204.1057399511</x:v>
      </x:c>
      <x:c r="L88" s="242" t="n">
        <x:f>MAX(E88-MAX(I87-I88,0),0)</x:f>
        <x:v>539522.6011856485</x:v>
      </x:c>
      <x:c r="M88" s="242" t="n">
        <x:f>IF(OR($AI$20&lt;&gt;"OK",A88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87-1,0)))</x:f>
        <x:v>0</x:v>
      </x:c>
      <x:c r="N88" s="242" t="n">
        <x:f>IF(OR($AI$20&lt;&gt;"OK",A88&gt;'診断'!$C$16),0,MIN('診断'!$C$50*(1-'診断'!$C$53)*ROUNDUP(1/MAX(2,ROUNDDOWN(IF('診断'!$C$52&gt;=15,15*20%,(15-'診断'!$C$52)+'診断'!$C$52*20%),0)),3)*(12)/12,MAX(AA87-1,0)))</x:f>
        <x:v>0</x:v>
      </x:c>
      <x:c r="O88" s="242" t="n">
        <x:f>M88+N88</x:f>
        <x:v>0</x:v>
      </x:c>
      <x:c r="P88" s="134" t="n">
        <x:f>B88-C88-L88-O88</x:f>
        <x:v>-102433.08822340285</x:v>
      </x:c>
      <x:c r="Q88" s="134" t="n">
        <x:f>L88*IF('診断'!$C$9&gt;0,$AI$17/'診断'!$C$9,0)</x:f>
        <x:v>524535.8622638249</x:v>
      </x:c>
      <x:c r="R88" s="134" t="n">
        <x:f>IF(P88&gt;=0,P88,MIN(0,P88+Q88))</x:f>
        <x:v>0</x:v>
      </x:c>
      <x:c r="S88" s="134" t="n">
        <x:f>ROUNDDOWN(MAX(($AI$8+R88)-IF(($AI$8+R88)&lt;=4890000,1040000,IF(($AI$8+R88)&lt;=6550000,670000,IF(($AI$8+R88)&lt;=23500000,620000,IF(($AI$8+R88)&lt;=24000000,480000,IF(($AI$8+R88)&lt;=24500000,320000,IF(($AI$8+R88)&lt;=25000000,160000,0))))))-$AI$10,0),-3)</x:f>
        <x:v>5930000</x:v>
      </x:c>
      <x:c r="T88" s="134" t="n">
        <x:f>ROUNDDOWN(MAX(IF(S88&lt;=1949000,S88*5%,IF(S88&lt;=3299000,S88*10%-97500,IF(S88&lt;=6949000,S88*20%-427500,IF(S88&lt;=8999000,S88*23%-636000,IF(S88&lt;=17999000,S88*33%-1536000,IF(S88&lt;=39999000,S88*40%-2796000,S88*45%-4796000)))))),0),-2)+ROUNDDOWN(ROUNDDOWN(MAX(IF(S88&lt;=1949000,S88*5%,IF(S88&lt;=3299000,S88*10%-97500,IF(S88&lt;=6949000,S88*20%-427500,IF(S88&lt;=8999000,S88*23%-636000,IF(S88&lt;=17999000,S88*33%-1536000,IF(S88&lt;=39999000,S88*40%-2796000,S88*45%-4796000)))))),0),-2)*2.1%,0)</x:f>
        <x:v>774428</x:v>
      </x:c>
      <x:c r="U88" s="134" t="n">
        <x:f>ROUNDDOWN(MAX(($AI$8+R88)-IF(($AI$8+R88)&lt;=24000000,430000,IF(($AI$8+R88)&lt;=24500000,290000,IF(($AI$8+R88)&lt;=25000000,150000,0)))-$AI$10,0),-3)</x:f>
        <x:v>6120000</x:v>
      </x:c>
      <x:c r="V88" s="134" t="n">
        <x:f>ROUNDDOWN(U88*10%,0)+5000</x:f>
        <x:v>617000</x:v>
      </x:c>
      <x:c r="W88" s="134" t="n">
        <x:f>IF($AI$20="OK",$AI$16-(T88+V88),0)</x:f>
        <x:v>0</x:v>
      </x:c>
      <x:c r="X88" s="134" t="n">
        <x:f>F88+W88</x:f>
        <x:v>-1177621.7441419563</x:v>
      </x:c>
      <x:c r="Y88" s="134" t="n">
        <x:f>Y87+X88</x:f>
        <x:v>-23627249.478675123</x:v>
      </x:c>
      <x:c r="Z88" s="134" t="n">
        <x:f>MAX(Z87-M88,0)</x:f>
        <x:v>0</x:v>
      </x:c>
      <x:c r="AA88" s="134" t="n">
        <x:f>MAX(AA87-N88,0)</x:f>
        <x:v>0</x:v>
      </x:c>
      <x:c r="AB88" s="134" t="n">
        <x:f>MAX('診断'!$C$7-'診断'!$C$50,0)+Z88+AA88+'診断'!$C$57</x:f>
        <x:v>35000000</x:v>
      </x:c>
      <x:c r="AC88" s="134" t="n">
        <x:f>MAX(J88-AB88-(J88*'診断'!$C$24+'診断'!$C$25)-'診断'!$C$58,0)</x:f>
        <x:v>0</x:v>
      </x:c>
      <x:c r="AD88" s="134" t="n">
        <x:f>IF($AI$20&lt;&gt;"OK",0,AC88*IF(AG88="長期",15%+5%+15%*2.1%,30%+9%+30%*2.1%))</x:f>
        <x:v>0</x:v>
      </x:c>
      <x:c r="AE88" s="134" t="n">
        <x:f>J88-(J88*'診断'!$C$24+'診断'!$C$25)-I88-AD88</x:f>
        <x:v>-931204.1057399511</x:v>
      </x:c>
      <x:c r="AF88" s="134" t="n">
        <x:f>Y88+AE88-MAX(0,'診断'!$C$7+'診断'!$C$8-'診断'!$C$9)</x:f>
        <x:v>-25058453.584415074</x:v>
      </x:c>
      <x:c r="AG88" s="406" t="str">
        <x:f>IF('診断'!$C$49&lt;DATE(YEAR('診断'!$C$49)+A88-1-5,1,1),"長期","短期")</x:f>
        <x:v>長期</x:v>
      </x:c>
    </x:row>
    <x:row r="89" ht="20" customHeight="1">
      <x:c r="A89" s="197" t="n">
        <x:v>22</x:v>
      </x:c>
      <x:c r="B89" s="242" t="n">
        <x:f>'診断'!$C$12*12*'診断'!$B$30*'診断'!$B$31*(1-'診断'!$C$19)^(A89-1)</x:f>
        <x:v>1074164.33642393</x:v>
      </x:c>
      <x:c r="C89" s="242" t="n">
        <x:f>(('診断'!$C$13+'診断'!$C$14)*12+'診断'!$C$21+'診断'!$C$22+B89*'診断'!$C$15)*'診断'!$B$33+'診断'!$C$23*'診断'!$B$34</x:f>
        <x:v>642135.2710264956</x:v>
      </x:c>
      <x:c r="D89" s="242" t="n">
        <x:f>B89-C89</x:f>
        <x:v>432029.0653974344</x:v>
      </x:c>
      <x:c r="E89" s="242" t="n">
        <x:f>IF(A89&lt;='診断'!$C$11,-PMT('診断'!$B$32/12,'診断'!$C$11*12,'診断'!$C$9)*12,0)</x:f>
        <x:v>1614711.257104202</x:v>
      </x:c>
      <x:c r="F89" s="242" t="n">
        <x:f>D89-E89</x:f>
        <x:v>-1182682.1917067675</x:v>
      </x:c>
      <x:c r="G89" s="242" t="n">
        <x:f>G88+F89</x:f>
        <x:v>-24809931.670381892</x:v>
      </x:c>
      <x:c r="H89" s="242" t="n">
        <x:f>H88+MAX(0,-F89)</x:f>
        <x:v>24809931.670381892</x:v>
      </x:c>
      <x:c r="I89" s="242" t="n">
        <x:f>IF(A89&gt;='診断'!$C$11,0,MAX(0,-FV('診断'!$B$32/12,A89*12,PMT('診断'!$B$32/12,'診断'!$C$11*12,'診断'!$C$9),'診断'!$C$9)))</x:f>
        <x:v>17578098.745808817</x:v>
      </x:c>
      <x:c r="J89" s="242" t="n">
        <x:f>'診断'!$C$7*(1+'診断'!$B$35)^A89</x:f>
        <x:v>17907963.404092167</x:v>
      </x:c>
      <x:c r="K89" s="242" t="n">
        <x:f>J89*(1-'診断'!$C$24)-'診断'!$C$25-I89</x:f>
        <x:v>-361098.13405169174</x:v>
      </x:c>
      <x:c r="L89" s="242" t="n">
        <x:f>MAX(E89-MAX(I88-I89,0),0)</x:f>
        <x:v>509027.9469079885</x:v>
      </x:c>
      <x:c r="M89" s="242" t="n">
        <x:f>IF(OR($AI$20&lt;&gt;"OK",A89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88-1,0)))</x:f>
        <x:v>0</x:v>
      </x:c>
      <x:c r="N89" s="242" t="n">
        <x:f>IF(OR($AI$20&lt;&gt;"OK",A89&gt;'診断'!$C$16),0,MIN('診断'!$C$50*(1-'診断'!$C$53)*ROUNDUP(1/MAX(2,ROUNDDOWN(IF('診断'!$C$52&gt;=15,15*20%,(15-'診断'!$C$52)+'診断'!$C$52*20%),0)),3)*(12)/12,MAX(AA88-1,0)))</x:f>
        <x:v>0</x:v>
      </x:c>
      <x:c r="O89" s="242" t="n">
        <x:f>M89+N89</x:f>
        <x:v>0</x:v>
      </x:c>
      <x:c r="P89" s="134" t="n">
        <x:f>B89-C89-L89-O89</x:f>
        <x:v>-76998.88151055411</x:v>
      </x:c>
      <x:c r="Q89" s="134" t="n">
        <x:f>L89*IF('診断'!$C$9&gt;0,$AI$17/'診断'!$C$9,0)</x:f>
        <x:v>494888.28171609994</x:v>
      </x:c>
      <x:c r="R89" s="134" t="n">
        <x:f>IF(P89&gt;=0,P89,MIN(0,P89+Q89))</x:f>
        <x:v>0</x:v>
      </x:c>
      <x:c r="S89" s="134" t="n">
        <x:f>ROUNDDOWN(MAX(($AI$8+R89)-IF(($AI$8+R89)&lt;=4890000,1040000,IF(($AI$8+R89)&lt;=6550000,670000,IF(($AI$8+R89)&lt;=23500000,620000,IF(($AI$8+R89)&lt;=24000000,480000,IF(($AI$8+R89)&lt;=24500000,320000,IF(($AI$8+R89)&lt;=25000000,160000,0))))))-$AI$10,0),-3)</x:f>
        <x:v>5930000</x:v>
      </x:c>
      <x:c r="T89" s="134" t="n">
        <x:f>ROUNDDOWN(MAX(IF(S89&lt;=1949000,S89*5%,IF(S89&lt;=3299000,S89*10%-97500,IF(S89&lt;=6949000,S89*20%-427500,IF(S89&lt;=8999000,S89*23%-636000,IF(S89&lt;=17999000,S89*33%-1536000,IF(S89&lt;=39999000,S89*40%-2796000,S89*45%-4796000)))))),0),-2)+ROUNDDOWN(ROUNDDOWN(MAX(IF(S89&lt;=1949000,S89*5%,IF(S89&lt;=3299000,S89*10%-97500,IF(S89&lt;=6949000,S89*20%-427500,IF(S89&lt;=8999000,S89*23%-636000,IF(S89&lt;=17999000,S89*33%-1536000,IF(S89&lt;=39999000,S89*40%-2796000,S89*45%-4796000)))))),0),-2)*2.1%,0)</x:f>
        <x:v>774428</x:v>
      </x:c>
      <x:c r="U89" s="134" t="n">
        <x:f>ROUNDDOWN(MAX(($AI$8+R89)-IF(($AI$8+R89)&lt;=24000000,430000,IF(($AI$8+R89)&lt;=24500000,290000,IF(($AI$8+R89)&lt;=25000000,150000,0)))-$AI$10,0),-3)</x:f>
        <x:v>6120000</x:v>
      </x:c>
      <x:c r="V89" s="134" t="n">
        <x:f>ROUNDDOWN(U89*10%,0)+5000</x:f>
        <x:v>617000</x:v>
      </x:c>
      <x:c r="W89" s="134" t="n">
        <x:f>IF($AI$20="OK",$AI$16-(T89+V89),0)</x:f>
        <x:v>0</x:v>
      </x:c>
      <x:c r="X89" s="134" t="n">
        <x:f>F89+W89</x:f>
        <x:v>-1182682.1917067675</x:v>
      </x:c>
      <x:c r="Y89" s="134" t="n">
        <x:f>Y88+X89</x:f>
        <x:v>-24809931.670381892</x:v>
      </x:c>
      <x:c r="Z89" s="134" t="n">
        <x:f>MAX(Z88-M89,0)</x:f>
        <x:v>0</x:v>
      </x:c>
      <x:c r="AA89" s="134" t="n">
        <x:f>MAX(AA88-N89,0)</x:f>
        <x:v>0</x:v>
      </x:c>
      <x:c r="AB89" s="134" t="n">
        <x:f>MAX('診断'!$C$7-'診断'!$C$50,0)+Z89+AA89+'診断'!$C$57</x:f>
        <x:v>35000000</x:v>
      </x:c>
      <x:c r="AC89" s="134" t="n">
        <x:f>MAX(J89-AB89-(J89*'診断'!$C$24+'診断'!$C$25)-'診断'!$C$58,0)</x:f>
        <x:v>0</x:v>
      </x:c>
      <x:c r="AD89" s="134" t="n">
        <x:f>IF($AI$20&lt;&gt;"OK",0,AC89*IF(AG89="長期",15%+5%+15%*2.1%,30%+9%+30%*2.1%))</x:f>
        <x:v>0</x:v>
      </x:c>
      <x:c r="AE89" s="134" t="n">
        <x:f>J89-(J89*'診断'!$C$24+'診断'!$C$25)-I89-AD89</x:f>
        <x:v>-361098.13405169174</x:v>
      </x:c>
      <x:c r="AF89" s="134" t="n">
        <x:f>Y89+AE89-MAX(0,'診断'!$C$7+'診断'!$C$8-'診断'!$C$9)</x:f>
        <x:v>-25671029.804433584</x:v>
      </x:c>
      <x:c r="AG89" s="406" t="str">
        <x:f>IF('診断'!$C$49&lt;DATE(YEAR('診断'!$C$49)+A89-1-5,1,1),"長期","短期")</x:f>
        <x:v>長期</x:v>
      </x:c>
    </x:row>
    <x:row r="90" ht="20" customHeight="1">
      <x:c r="A90" s="197" t="n">
        <x:v>23</x:v>
      </x:c>
      <x:c r="B90" s="242" t="n">
        <x:f>'診断'!$C$12*12*'診断'!$B$30*'診断'!$B$31*(1-'診断'!$C$19)^(A90-1)</x:f>
        <x:v>1068793.5147418103</x:v>
      </x:c>
      <x:c r="C90" s="242" t="n">
        <x:f>(('診断'!$C$13+'診断'!$C$14)*12+'診断'!$C$21+'診断'!$C$22+B90*'診断'!$C$15)*'診断'!$B$33+'診断'!$C$23*'診断'!$B$34</x:f>
        <x:v>641799.5946713631</x:v>
      </x:c>
      <x:c r="D90" s="242" t="n">
        <x:f>B90-C90</x:f>
        <x:v>426993.92007044714</x:v>
      </x:c>
      <x:c r="E90" s="242" t="n">
        <x:f>IF(A90&lt;='診断'!$C$11,-PMT('診断'!$B$32/12,'診断'!$C$11*12,'診断'!$C$9)*12,0)</x:f>
        <x:v>1614711.257104202</x:v>
      </x:c>
      <x:c r="F90" s="242" t="n">
        <x:f>D90-E90</x:f>
        <x:v>-1187717.3370337547</x:v>
      </x:c>
      <x:c r="G90" s="242" t="n">
        <x:f>G89+F90</x:f>
        <x:v>-25997649.00741565</x:v>
      </x:c>
      <x:c r="H90" s="242" t="n">
        <x:f>H89+MAX(0,-F90)</x:f>
        <x:v>25997649.00741565</x:v>
      </x:c>
      <x:c r="I90" s="242" t="n">
        <x:f>IF(A90&gt;='診断'!$C$11,0,MAX(0,-FV('診断'!$B$32/12,A90*12,PMT('診断'!$B$32/12,'診断'!$C$11*12,'診断'!$C$9),'診断'!$C$9)))</x:f>
        <x:v>16441055.887593374</x:v>
      </x:c>
      <x:c r="J90" s="242" t="n">
        <x:f>'診断'!$C$7*(1+'診断'!$B$35)^A90</x:f>
        <x:v>17370724.5019694</x:v>
      </x:c>
      <x:c r="K90" s="242" t="n">
        <x:f>J90*(1-'診断'!$C$24)-'診断'!$C$25-I90</x:f>
        <x:v>256434.7058110349</x:v>
      </x:c>
      <x:c r="L90" s="242" t="n">
        <x:f>MAX(E90-MAX(I89-I90,0),0)</x:f>
        <x:v>477668.39888875815</x:v>
      </x:c>
      <x:c r="M90" s="242" t="n">
        <x:f>IF(OR($AI$20&lt;&gt;"OK",A90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89-1,0)))</x:f>
        <x:v>0</x:v>
      </x:c>
      <x:c r="N90" s="242" t="n">
        <x:f>IF(OR($AI$20&lt;&gt;"OK",A90&gt;'診断'!$C$16),0,MIN('診断'!$C$50*(1-'診断'!$C$53)*ROUNDUP(1/MAX(2,ROUNDDOWN(IF('診断'!$C$52&gt;=15,15*20%,(15-'診断'!$C$52)+'診断'!$C$52*20%),0)),3)*(12)/12,MAX(AA89-1,0)))</x:f>
        <x:v>0</x:v>
      </x:c>
      <x:c r="O90" s="242" t="n">
        <x:f>M90+N90</x:f>
        <x:v>0</x:v>
      </x:c>
      <x:c r="P90" s="134" t="n">
        <x:f>B90-C90-L90-O90</x:f>
        <x:v>-50674.47881831101</x:v>
      </x:c>
      <x:c r="Q90" s="134" t="n">
        <x:f>L90*IF('診断'!$C$9&gt;0,$AI$17/'診断'!$C$9,0)</x:f>
        <x:v>464399.8322529593</x:v>
      </x:c>
      <x:c r="R90" s="134" t="n">
        <x:f>IF(P90&gt;=0,P90,MIN(0,P90+Q90))</x:f>
        <x:v>0</x:v>
      </x:c>
      <x:c r="S90" s="134" t="n">
        <x:f>ROUNDDOWN(MAX(($AI$8+R90)-IF(($AI$8+R90)&lt;=4890000,1040000,IF(($AI$8+R90)&lt;=6550000,670000,IF(($AI$8+R90)&lt;=23500000,620000,IF(($AI$8+R90)&lt;=24000000,480000,IF(($AI$8+R90)&lt;=24500000,320000,IF(($AI$8+R90)&lt;=25000000,160000,0))))))-$AI$10,0),-3)</x:f>
        <x:v>5930000</x:v>
      </x:c>
      <x:c r="T90" s="134" t="n">
        <x:f>ROUNDDOWN(MAX(IF(S90&lt;=1949000,S90*5%,IF(S90&lt;=3299000,S90*10%-97500,IF(S90&lt;=6949000,S90*20%-427500,IF(S90&lt;=8999000,S90*23%-636000,IF(S90&lt;=17999000,S90*33%-1536000,IF(S90&lt;=39999000,S90*40%-2796000,S90*45%-4796000)))))),0),-2)+ROUNDDOWN(ROUNDDOWN(MAX(IF(S90&lt;=1949000,S90*5%,IF(S90&lt;=3299000,S90*10%-97500,IF(S90&lt;=6949000,S90*20%-427500,IF(S90&lt;=8999000,S90*23%-636000,IF(S90&lt;=17999000,S90*33%-1536000,IF(S90&lt;=39999000,S90*40%-2796000,S90*45%-4796000)))))),0),-2)*2.1%,0)</x:f>
        <x:v>774428</x:v>
      </x:c>
      <x:c r="U90" s="134" t="n">
        <x:f>ROUNDDOWN(MAX(($AI$8+R90)-IF(($AI$8+R90)&lt;=24000000,430000,IF(($AI$8+R90)&lt;=24500000,290000,IF(($AI$8+R90)&lt;=25000000,150000,0)))-$AI$10,0),-3)</x:f>
        <x:v>6120000</x:v>
      </x:c>
      <x:c r="V90" s="134" t="n">
        <x:f>ROUNDDOWN(U90*10%,0)+5000</x:f>
        <x:v>617000</x:v>
      </x:c>
      <x:c r="W90" s="134" t="n">
        <x:f>IF($AI$20="OK",$AI$16-(T90+V90),0)</x:f>
        <x:v>0</x:v>
      </x:c>
      <x:c r="X90" s="134" t="n">
        <x:f>F90+W90</x:f>
        <x:v>-1187717.3370337547</x:v>
      </x:c>
      <x:c r="Y90" s="134" t="n">
        <x:f>Y89+X90</x:f>
        <x:v>-25997649.00741565</x:v>
      </x:c>
      <x:c r="Z90" s="134" t="n">
        <x:f>MAX(Z89-M90,0)</x:f>
        <x:v>0</x:v>
      </x:c>
      <x:c r="AA90" s="134" t="n">
        <x:f>MAX(AA89-N90,0)</x:f>
        <x:v>0</x:v>
      </x:c>
      <x:c r="AB90" s="134" t="n">
        <x:f>MAX('診断'!$C$7-'診断'!$C$50,0)+Z90+AA90+'診断'!$C$57</x:f>
        <x:v>35000000</x:v>
      </x:c>
      <x:c r="AC90" s="134" t="n">
        <x:f>MAX(J90-AB90-(J90*'診断'!$C$24+'診断'!$C$25)-'診断'!$C$58,0)</x:f>
        <x:v>0</x:v>
      </x:c>
      <x:c r="AD90" s="134" t="n">
        <x:f>IF($AI$20&lt;&gt;"OK",0,AC90*IF(AG90="長期",15%+5%+15%*2.1%,30%+9%+30%*2.1%))</x:f>
        <x:v>0</x:v>
      </x:c>
      <x:c r="AE90" s="134" t="n">
        <x:f>J90-(J90*'診断'!$C$24+'診断'!$C$25)-I90-AD90</x:f>
        <x:v>256434.70581103675</x:v>
      </x:c>
      <x:c r="AF90" s="134" t="n">
        <x:f>Y90+AE90-MAX(0,'診断'!$C$7+'診断'!$C$8-'診断'!$C$9)</x:f>
        <x:v>-26241214.301604614</x:v>
      </x:c>
      <x:c r="AG90" s="406" t="str">
        <x:f>IF('診断'!$C$49&lt;DATE(YEAR('診断'!$C$49)+A90-1-5,1,1),"長期","短期")</x:f>
        <x:v>長期</x:v>
      </x:c>
    </x:row>
    <x:row r="91" ht="20" customHeight="1">
      <x:c r="A91" s="197" t="n">
        <x:v>24</x:v>
      </x:c>
      <x:c r="B91" s="242" t="n">
        <x:f>'診断'!$C$12*12*'診断'!$B$30*'診断'!$B$31*(1-'診断'!$C$19)^(A91-1)</x:f>
        <x:v>1063449.5471681012</x:v>
      </x:c>
      <x:c r="C91" s="242" t="n">
        <x:f>(('診断'!$C$13+'診断'!$C$14)*12+'診断'!$C$21+'診断'!$C$22+B91*'診断'!$C$15)*'診断'!$B$33+'診断'!$C$23*'診断'!$B$34</x:f>
        <x:v>641465.5966980064</x:v>
      </x:c>
      <x:c r="D91" s="242" t="n">
        <x:f>B91-C91</x:f>
        <x:v>421983.9504700948</x:v>
      </x:c>
      <x:c r="E91" s="242" t="n">
        <x:f>IF(A91&lt;='診断'!$C$11,-PMT('診断'!$B$32/12,'診断'!$C$11*12,'診断'!$C$9)*12,0)</x:f>
        <x:v>1614711.257104202</x:v>
      </x:c>
      <x:c r="F91" s="242" t="n">
        <x:f>D91-E91</x:f>
        <x:v>-1192727.3066341071</x:v>
      </x:c>
      <x:c r="G91" s="242" t="n">
        <x:f>G90+F91</x:f>
        <x:v>-27190376.314049754</x:v>
      </x:c>
      <x:c r="H91" s="242" t="n">
        <x:f>H90+MAX(0,-F91)</x:f>
        <x:v>27190376.314049754</x:v>
      </x:c>
      <x:c r="I91" s="242" t="n">
        <x:f>IF(A91&gt;='診断'!$C$11,0,MAX(0,-FV('診断'!$B$32/12,A91*12,PMT('診断'!$B$32/12,'診断'!$C$11*12,'診断'!$C$9),'診断'!$C$9)))</x:f>
        <x:v>15271764.057377256</x:v>
      </x:c>
      <x:c r="J91" s="242" t="n">
        <x:f>'診断'!$C$7*(1+'診断'!$B$35)^A91</x:f>
        <x:v>16849602.76691032</x:v>
      </x:c>
      <x:c r="K91" s="242" t="n">
        <x:f>J91*(1-'診断'!$C$24)-'診断'!$C$25-I91</x:f>
        <x:v>921801.8182250205</x:v>
      </x:c>
      <x:c r="L91" s="242" t="n">
        <x:f>MAX(E91-MAX(I90-I91,0),0)</x:f>
        <x:v>445419.42688808474</x:v>
      </x:c>
      <x:c r="M91" s="242" t="n">
        <x:f>IF(OR($AI$20&lt;&gt;"OK",A91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90-1,0)))</x:f>
        <x:v>0</x:v>
      </x:c>
      <x:c r="N91" s="242" t="n">
        <x:f>IF(OR($AI$20&lt;&gt;"OK",A91&gt;'診断'!$C$16),0,MIN('診断'!$C$50*(1-'診断'!$C$53)*ROUNDUP(1/MAX(2,ROUNDDOWN(IF('診断'!$C$52&gt;=15,15*20%,(15-'診断'!$C$52)+'診断'!$C$52*20%),0)),3)*(12)/12,MAX(AA90-1,0)))</x:f>
        <x:v>0</x:v>
      </x:c>
      <x:c r="O91" s="242" t="n">
        <x:f>M91+N91</x:f>
        <x:v>0</x:v>
      </x:c>
      <x:c r="P91" s="134" t="n">
        <x:f>B91-C91-L91-O91</x:f>
        <x:v>-23435.476417989936</x:v>
      </x:c>
      <x:c r="Q91" s="134" t="n">
        <x:f>L91*IF('診断'!$C$9&gt;0,$AI$17/'診断'!$C$9,0)</x:f>
        <x:v>433046.6650300824</x:v>
      </x:c>
      <x:c r="R91" s="134" t="n">
        <x:f>IF(P91&gt;=0,P91,MIN(0,P91+Q91))</x:f>
        <x:v>0</x:v>
      </x:c>
      <x:c r="S91" s="134" t="n">
        <x:f>ROUNDDOWN(MAX(($AI$8+R91)-IF(($AI$8+R91)&lt;=4890000,1040000,IF(($AI$8+R91)&lt;=6550000,670000,IF(($AI$8+R91)&lt;=23500000,620000,IF(($AI$8+R91)&lt;=24000000,480000,IF(($AI$8+R91)&lt;=24500000,320000,IF(($AI$8+R91)&lt;=25000000,160000,0))))))-$AI$10,0),-3)</x:f>
        <x:v>5930000</x:v>
      </x:c>
      <x:c r="T91" s="134" t="n">
        <x:f>ROUNDDOWN(MAX(IF(S91&lt;=1949000,S91*5%,IF(S91&lt;=3299000,S91*10%-97500,IF(S91&lt;=6949000,S91*20%-427500,IF(S91&lt;=8999000,S91*23%-636000,IF(S91&lt;=17999000,S91*33%-1536000,IF(S91&lt;=39999000,S91*40%-2796000,S91*45%-4796000)))))),0),-2)+ROUNDDOWN(ROUNDDOWN(MAX(IF(S91&lt;=1949000,S91*5%,IF(S91&lt;=3299000,S91*10%-97500,IF(S91&lt;=6949000,S91*20%-427500,IF(S91&lt;=8999000,S91*23%-636000,IF(S91&lt;=17999000,S91*33%-1536000,IF(S91&lt;=39999000,S91*40%-2796000,S91*45%-4796000)))))),0),-2)*2.1%,0)</x:f>
        <x:v>774428</x:v>
      </x:c>
      <x:c r="U91" s="134" t="n">
        <x:f>ROUNDDOWN(MAX(($AI$8+R91)-IF(($AI$8+R91)&lt;=24000000,430000,IF(($AI$8+R91)&lt;=24500000,290000,IF(($AI$8+R91)&lt;=25000000,150000,0)))-$AI$10,0),-3)</x:f>
        <x:v>6120000</x:v>
      </x:c>
      <x:c r="V91" s="134" t="n">
        <x:f>ROUNDDOWN(U91*10%,0)+5000</x:f>
        <x:v>617000</x:v>
      </x:c>
      <x:c r="W91" s="134" t="n">
        <x:f>IF($AI$20="OK",$AI$16-(T91+V91),0)</x:f>
        <x:v>0</x:v>
      </x:c>
      <x:c r="X91" s="134" t="n">
        <x:f>F91+W91</x:f>
        <x:v>-1192727.3066341071</x:v>
      </x:c>
      <x:c r="Y91" s="134" t="n">
        <x:f>Y90+X91</x:f>
        <x:v>-27190376.314049754</x:v>
      </x:c>
      <x:c r="Z91" s="134" t="n">
        <x:f>MAX(Z90-M91,0)</x:f>
        <x:v>0</x:v>
      </x:c>
      <x:c r="AA91" s="134" t="n">
        <x:f>MAX(AA90-N91,0)</x:f>
        <x:v>0</x:v>
      </x:c>
      <x:c r="AB91" s="134" t="n">
        <x:f>MAX('診断'!$C$7-'診断'!$C$50,0)+Z91+AA91+'診断'!$C$57</x:f>
        <x:v>35000000</x:v>
      </x:c>
      <x:c r="AC91" s="134" t="n">
        <x:f>MAX(J91-AB91-(J91*'診断'!$C$24+'診断'!$C$25)-'診断'!$C$58,0)</x:f>
        <x:v>0</x:v>
      </x:c>
      <x:c r="AD91" s="134" t="n">
        <x:f>IF($AI$20&lt;&gt;"OK",0,AC91*IF(AG91="長期",15%+5%+15%*2.1%,30%+9%+30%*2.1%))</x:f>
        <x:v>0</x:v>
      </x:c>
      <x:c r="AE91" s="134" t="n">
        <x:f>J91-(J91*'診断'!$C$24+'診断'!$C$25)-I91-AD91</x:f>
        <x:v>921801.8182250205</x:v>
      </x:c>
      <x:c r="AF91" s="134" t="n">
        <x:f>Y91+AE91-MAX(0,'診断'!$C$7+'診断'!$C$8-'診断'!$C$9)</x:f>
        <x:v>-26768574.495824732</x:v>
      </x:c>
      <x:c r="AG91" s="406" t="str">
        <x:f>IF('診断'!$C$49&lt;DATE(YEAR('診断'!$C$49)+A91-1-5,1,1),"長期","短期")</x:f>
        <x:v>長期</x:v>
      </x:c>
    </x:row>
    <x:row r="92" ht="20" customHeight="1">
      <x:c r="A92" s="197" t="n">
        <x:v>25</x:v>
      </x:c>
      <x:c r="B92" s="242" t="n">
        <x:f>'診断'!$C$12*12*'診断'!$B$30*'診断'!$B$31*(1-'診断'!$C$19)^(A92-1)</x:f>
        <x:v>1058132.2994322607</x:v>
      </x:c>
      <x:c r="C92" s="242" t="n">
        <x:f>(('診断'!$C$13+'診断'!$C$14)*12+'診断'!$C$21+'診断'!$C$22+B92*'診断'!$C$15)*'診断'!$B$33+'診断'!$C$23*'診断'!$B$34</x:f>
        <x:v>641133.2687145163</x:v>
      </x:c>
      <x:c r="D92" s="242" t="n">
        <x:f>B92-C92</x:f>
        <x:v>416999.0307177444</x:v>
      </x:c>
      <x:c r="E92" s="242" t="n">
        <x:f>IF(A92&lt;='診断'!$C$11,-PMT('診断'!$B$32/12,'診断'!$C$11*12,'診断'!$C$9)*12,0)</x:f>
        <x:v>1614711.257104202</x:v>
      </x:c>
      <x:c r="F92" s="242" t="n">
        <x:f>D92-E92</x:f>
        <x:v>-1197712.2263864577</x:v>
      </x:c>
      <x:c r="G92" s="242" t="n">
        <x:f>G91+F92</x:f>
        <x:v>-28388088.540436212</x:v>
      </x:c>
      <x:c r="H92" s="242" t="n">
        <x:f>H91+MAX(0,-F92)</x:f>
        <x:v>28388088.540436212</x:v>
      </x:c>
      <x:c r="I92" s="242" t="n">
        <x:f>IF(A92&gt;='診断'!$C$11,0,MAX(0,-FV('診断'!$B$32/12,A92*12,PMT('診断'!$B$32/12,'診断'!$C$11*12,'診断'!$C$9),'診断'!$C$9)))</x:f>
        <x:v>14069308.605208978</x:v>
      </x:c>
      <x:c r="J92" s="242" t="n">
        <x:f>'診断'!$C$7*(1+'診断'!$B$35)^A92</x:f>
        <x:v>16344114.683903009</x:v>
      </x:c>
      <x:c r="K92" s="242" t="n">
        <x:f>J92*(1-'診断'!$C$24)-'診断'!$C$25-I92</x:f>
        <x:v>1635450.294125231</x:v>
      </x:c>
      <x:c r="L92" s="242" t="n">
        <x:f>MAX(E92-MAX(I91-I92,0),0)</x:f>
        <x:v>412255.80493592354</x:v>
      </x:c>
      <x:c r="M92" s="242" t="n">
        <x:f>IF(OR($AI$20&lt;&gt;"OK",A92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91-1,0)))</x:f>
        <x:v>0</x:v>
      </x:c>
      <x:c r="N92" s="242" t="n">
        <x:f>IF(OR($AI$20&lt;&gt;"OK",A92&gt;'診断'!$C$16),0,MIN('診断'!$C$50*(1-'診断'!$C$53)*ROUNDUP(1/MAX(2,ROUNDDOWN(IF('診断'!$C$52&gt;=15,15*20%,(15-'診断'!$C$52)+'診断'!$C$52*20%),0)),3)*(12)/12,MAX(AA91-1,0)))</x:f>
        <x:v>0</x:v>
      </x:c>
      <x:c r="O92" s="242" t="n">
        <x:f>M92+N92</x:f>
        <x:v>0</x:v>
      </x:c>
      <x:c r="P92" s="134" t="n">
        <x:f>B92-C92-L92-O92</x:f>
        <x:v>4743.225781820831</x:v>
      </x:c>
      <x:c r="Q92" s="134" t="n">
        <x:f>L92*IF('診断'!$C$9&gt;0,$AI$17/'診断'!$C$9,0)</x:f>
        <x:v>400804.25479881454</x:v>
      </x:c>
      <x:c r="R92" s="134" t="n">
        <x:f>IF(P92&gt;=0,P92,MIN(0,P92+Q92))</x:f>
        <x:v>4743.225781820831</x:v>
      </x:c>
      <x:c r="S92" s="134" t="n">
        <x:f>ROUNDDOWN(MAX(($AI$8+R92)-IF(($AI$8+R92)&lt;=4890000,1040000,IF(($AI$8+R92)&lt;=6550000,670000,IF(($AI$8+R92)&lt;=23500000,620000,IF(($AI$8+R92)&lt;=24000000,480000,IF(($AI$8+R92)&lt;=24500000,320000,IF(($AI$8+R92)&lt;=25000000,160000,0))))))-$AI$10,0),-3)</x:f>
        <x:v>5934000</x:v>
      </x:c>
      <x:c r="T92" s="134" t="n">
        <x:f>ROUNDDOWN(MAX(IF(S92&lt;=1949000,S92*5%,IF(S92&lt;=3299000,S92*10%-97500,IF(S92&lt;=6949000,S92*20%-427500,IF(S92&lt;=8999000,S92*23%-636000,IF(S92&lt;=17999000,S92*33%-1536000,IF(S92&lt;=39999000,S92*40%-2796000,S92*45%-4796000)))))),0),-2)+ROUNDDOWN(ROUNDDOWN(MAX(IF(S92&lt;=1949000,S92*5%,IF(S92&lt;=3299000,S92*10%-97500,IF(S92&lt;=6949000,S92*20%-427500,IF(S92&lt;=8999000,S92*23%-636000,IF(S92&lt;=17999000,S92*33%-1536000,IF(S92&lt;=39999000,S92*40%-2796000,S92*45%-4796000)))))),0),-2)*2.1%,0)</x:f>
        <x:v>775245</x:v>
      </x:c>
      <x:c r="U92" s="134" t="n">
        <x:f>ROUNDDOWN(MAX(($AI$8+R92)-IF(($AI$8+R92)&lt;=24000000,430000,IF(($AI$8+R92)&lt;=24500000,290000,IF(($AI$8+R92)&lt;=25000000,150000,0)))-$AI$10,0),-3)</x:f>
        <x:v>6124000</x:v>
      </x:c>
      <x:c r="V92" s="134" t="n">
        <x:f>ROUNDDOWN(U92*10%,0)+5000</x:f>
        <x:v>617400</x:v>
      </x:c>
      <x:c r="W92" s="134" t="n">
        <x:f>IF($AI$20="OK",$AI$16-(T92+V92),0)</x:f>
        <x:v>0</x:v>
      </x:c>
      <x:c r="X92" s="134" t="n">
        <x:f>F92+W92</x:f>
        <x:v>-1197712.2263864577</x:v>
      </x:c>
      <x:c r="Y92" s="134" t="n">
        <x:f>Y91+X92</x:f>
        <x:v>-28388088.540436212</x:v>
      </x:c>
      <x:c r="Z92" s="134" t="n">
        <x:f>MAX(Z91-M92,0)</x:f>
        <x:v>0</x:v>
      </x:c>
      <x:c r="AA92" s="134" t="n">
        <x:f>MAX(AA91-N92,0)</x:f>
        <x:v>0</x:v>
      </x:c>
      <x:c r="AB92" s="134" t="n">
        <x:f>MAX('診断'!$C$7-'診断'!$C$50,0)+Z92+AA92+'診断'!$C$57</x:f>
        <x:v>35000000</x:v>
      </x:c>
      <x:c r="AC92" s="134" t="n">
        <x:f>MAX(J92-AB92-(J92*'診断'!$C$24+'診断'!$C$25)-'診断'!$C$58,0)</x:f>
        <x:v>0</x:v>
      </x:c>
      <x:c r="AD92" s="134" t="n">
        <x:f>IF($AI$20&lt;&gt;"OK",0,AC92*IF(AG92="長期",15%+5%+15%*2.1%,30%+9%+30%*2.1%))</x:f>
        <x:v>0</x:v>
      </x:c>
      <x:c r="AE92" s="134" t="n">
        <x:f>J92-(J92*'診断'!$C$24+'診断'!$C$25)-I92-AD92</x:f>
        <x:v>1635450.294125231</x:v>
      </x:c>
      <x:c r="AF92" s="134" t="n">
        <x:f>Y92+AE92-MAX(0,'診断'!$C$7+'診断'!$C$8-'診断'!$C$9)</x:f>
        <x:v>-27252638.24631098</x:v>
      </x:c>
      <x:c r="AG92" s="406" t="str">
        <x:f>IF('診断'!$C$49&lt;DATE(YEAR('診断'!$C$49)+A92-1-5,1,1),"長期","短期")</x:f>
        <x:v>長期</x:v>
      </x:c>
    </x:row>
    <x:row r="93" ht="20" customHeight="1">
      <x:c r="A93" s="197" t="n">
        <x:v>26</x:v>
      </x:c>
      <x:c r="B93" s="242" t="n">
        <x:f>'診断'!$C$12*12*'診断'!$B$30*'診断'!$B$31*(1-'診断'!$C$19)^(A93-1)</x:f>
        <x:v>1052841.6379350994</x:v>
      </x:c>
      <x:c r="C93" s="242" t="n">
        <x:f>(('診断'!$C$13+'診断'!$C$14)*12+'診断'!$C$21+'診断'!$C$22+B93*'診断'!$C$15)*'診断'!$B$33+'診断'!$C$23*'診断'!$B$34</x:f>
        <x:v>640802.6023709438</x:v>
      </x:c>
      <x:c r="D93" s="242" t="n">
        <x:f>B93-C93</x:f>
        <x:v>412039.03556415567</x:v>
      </x:c>
      <x:c r="E93" s="242" t="n">
        <x:f>IF(A93&lt;='診断'!$C$11,-PMT('診断'!$B$32/12,'診断'!$C$11*12,'診断'!$C$9)*12,0)</x:f>
        <x:v>1614711.257104202</x:v>
      </x:c>
      <x:c r="F93" s="242" t="n">
        <x:f>D93-E93</x:f>
        <x:v>-1202672.2215400464</x:v>
      </x:c>
      <x:c r="G93" s="242" t="n">
        <x:f>G92+F93</x:f>
        <x:v>-29590760.761976257</x:v>
      </x:c>
      <x:c r="H93" s="242" t="n">
        <x:f>H92+MAX(0,-F93)</x:f>
        <x:v>29590760.761976257</x:v>
      </x:c>
      <x:c r="I93" s="242" t="n">
        <x:f>IF(A93&gt;='診断'!$C$11,0,MAX(0,-FV('診断'!$B$32/12,A93*12,PMT('診断'!$B$32/12,'診断'!$C$11*12,'診断'!$C$9),'診断'!$C$9)))</x:f>
        <x:v>12832748.939704455</x:v>
      </x:c>
      <x:c r="J93" s="242" t="n">
        <x:f>'診断'!$C$7*(1+'診断'!$B$35)^A93</x:f>
        <x:v>15853791.243385917</x:v>
      </x:c>
      <x:c r="K93" s="242" t="n">
        <x:f>J93*(1-'診断'!$C$24)-'診断'!$C$25-I93</x:f>
        <x:v>2397867.192649726</x:v>
      </x:c>
      <x:c r="L93" s="242" t="n">
        <x:f>MAX(E93-MAX(I92-I93,0),0)</x:f>
        <x:v>378151.5915996793</x:v>
      </x:c>
      <x:c r="M93" s="242" t="n">
        <x:f>IF(OR($AI$20&lt;&gt;"OK",A93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92-1,0)))</x:f>
        <x:v>0</x:v>
      </x:c>
      <x:c r="N93" s="242" t="n">
        <x:f>IF(OR($AI$20&lt;&gt;"OK",A93&gt;'診断'!$C$16),0,MIN('診断'!$C$50*(1-'診断'!$C$53)*ROUNDUP(1/MAX(2,ROUNDDOWN(IF('診断'!$C$52&gt;=15,15*20%,(15-'診断'!$C$52)+'診断'!$C$52*20%),0)),3)*(12)/12,MAX(AA92-1,0)))</x:f>
        <x:v>0</x:v>
      </x:c>
      <x:c r="O93" s="242" t="n">
        <x:f>M93+N93</x:f>
        <x:v>0</x:v>
      </x:c>
      <x:c r="P93" s="134" t="n">
        <x:f>B93-C93-L93-O93</x:f>
        <x:v>33887.44396447635</x:v>
      </x:c>
      <x:c r="Q93" s="134" t="n">
        <x:f>L93*IF('診断'!$C$9&gt;0,$AI$17/'診断'!$C$9,0)</x:f>
        <x:v>367647.38072191045</x:v>
      </x:c>
      <x:c r="R93" s="134" t="n">
        <x:f>IF(P93&gt;=0,P93,MIN(0,P93+Q93))</x:f>
        <x:v>33887.44396447635</x:v>
      </x:c>
      <x:c r="S93" s="134" t="n">
        <x:f>ROUNDDOWN(MAX(($AI$8+R93)-IF(($AI$8+R93)&lt;=4890000,1040000,IF(($AI$8+R93)&lt;=6550000,670000,IF(($AI$8+R93)&lt;=23500000,620000,IF(($AI$8+R93)&lt;=24000000,480000,IF(($AI$8+R93)&lt;=24500000,320000,IF(($AI$8+R93)&lt;=25000000,160000,0))))))-$AI$10,0),-3)</x:f>
        <x:v>5963000</x:v>
      </x:c>
      <x:c r="T93" s="134" t="n">
        <x:f>ROUNDDOWN(MAX(IF(S93&lt;=1949000,S93*5%,IF(S93&lt;=3299000,S93*10%-97500,IF(S93&lt;=6949000,S93*20%-427500,IF(S93&lt;=8999000,S93*23%-636000,IF(S93&lt;=17999000,S93*33%-1536000,IF(S93&lt;=39999000,S93*40%-2796000,S93*45%-4796000)))))),0),-2)+ROUNDDOWN(ROUNDDOWN(MAX(IF(S93&lt;=1949000,S93*5%,IF(S93&lt;=3299000,S93*10%-97500,IF(S93&lt;=6949000,S93*20%-427500,IF(S93&lt;=8999000,S93*23%-636000,IF(S93&lt;=17999000,S93*33%-1536000,IF(S93&lt;=39999000,S93*40%-2796000,S93*45%-4796000)))))),0),-2)*2.1%,0)</x:f>
        <x:v>781167</x:v>
      </x:c>
      <x:c r="U93" s="134" t="n">
        <x:f>ROUNDDOWN(MAX(($AI$8+R93)-IF(($AI$8+R93)&lt;=24000000,430000,IF(($AI$8+R93)&lt;=24500000,290000,IF(($AI$8+R93)&lt;=25000000,150000,0)))-$AI$10,0),-3)</x:f>
        <x:v>6153000</x:v>
      </x:c>
      <x:c r="V93" s="134" t="n">
        <x:f>ROUNDDOWN(U93*10%,0)+5000</x:f>
        <x:v>620300</x:v>
      </x:c>
      <x:c r="W93" s="134" t="n">
        <x:f>IF($AI$20="OK",$AI$16-(T93+V93),0)</x:f>
        <x:v>0</x:v>
      </x:c>
      <x:c r="X93" s="134" t="n">
        <x:f>F93+W93</x:f>
        <x:v>-1202672.2215400464</x:v>
      </x:c>
      <x:c r="Y93" s="134" t="n">
        <x:f>Y92+X93</x:f>
        <x:v>-29590760.761976257</x:v>
      </x:c>
      <x:c r="Z93" s="134" t="n">
        <x:f>MAX(Z92-M93,0)</x:f>
        <x:v>0</x:v>
      </x:c>
      <x:c r="AA93" s="134" t="n">
        <x:f>MAX(AA92-N93,0)</x:f>
        <x:v>0</x:v>
      </x:c>
      <x:c r="AB93" s="134" t="n">
        <x:f>MAX('診断'!$C$7-'診断'!$C$50,0)+Z93+AA93+'診断'!$C$57</x:f>
        <x:v>35000000</x:v>
      </x:c>
      <x:c r="AC93" s="134" t="n">
        <x:f>MAX(J93-AB93-(J93*'診断'!$C$24+'診断'!$C$25)-'診断'!$C$58,0)</x:f>
        <x:v>0</x:v>
      </x:c>
      <x:c r="AD93" s="134" t="n">
        <x:f>IF($AI$20&lt;&gt;"OK",0,AC93*IF(AG93="長期",15%+5%+15%*2.1%,30%+9%+30%*2.1%))</x:f>
        <x:v>0</x:v>
      </x:c>
      <x:c r="AE93" s="134" t="n">
        <x:f>J93-(J93*'診断'!$C$24+'診断'!$C$25)-I93-AD93</x:f>
        <x:v>2397867.192649726</x:v>
      </x:c>
      <x:c r="AF93" s="134" t="n">
        <x:f>Y93+AE93-MAX(0,'診断'!$C$7+'診断'!$C$8-'診断'!$C$9)</x:f>
        <x:v>-27692893.56932653</x:v>
      </x:c>
      <x:c r="AG93" s="406" t="str">
        <x:f>IF('診断'!$C$49&lt;DATE(YEAR('診断'!$C$49)+A93-1-5,1,1),"長期","短期")</x:f>
        <x:v>長期</x:v>
      </x:c>
    </x:row>
    <x:row r="94" ht="20" customHeight="1">
      <x:c r="A94" s="197" t="n">
        <x:v>27</x:v>
      </x:c>
      <x:c r="B94" s="242" t="n">
        <x:f>'診断'!$C$12*12*'診断'!$B$30*'診断'!$B$31*(1-'診断'!$C$19)^(A94-1)</x:f>
        <x:v>1047577.4297454238</x:v>
      </x:c>
      <x:c r="C94" s="242" t="n">
        <x:f>(('診断'!$C$13+'診断'!$C$14)*12+'診断'!$C$21+'診断'!$C$22+B94*'診断'!$C$15)*'診断'!$B$33+'診断'!$C$23*'診断'!$B$34</x:f>
        <x:v>640473.589359089</x:v>
      </x:c>
      <x:c r="D94" s="242" t="n">
        <x:f>B94-C94</x:f>
        <x:v>407103.8403863348</x:v>
      </x:c>
      <x:c r="E94" s="242" t="n">
        <x:f>IF(A94&lt;='診断'!$C$11,-PMT('診断'!$B$32/12,'診断'!$C$11*12,'診断'!$C$9)*12,0)</x:f>
        <x:v>1614711.257104202</x:v>
      </x:c>
      <x:c r="F94" s="242" t="n">
        <x:f>D94-E94</x:f>
        <x:v>-1207607.4167178671</x:v>
      </x:c>
      <x:c r="G94" s="242" t="n">
        <x:f>G93+F94</x:f>
        <x:v>-30798368.178694125</x:v>
      </x:c>
      <x:c r="H94" s="242" t="n">
        <x:f>H93+MAX(0,-F94)</x:f>
        <x:v>30798368.178694125</x:v>
      </x:c>
      <x:c r="I94" s="242" t="n">
        <x:f>IF(A94&gt;='診断'!$C$11,0,MAX(0,-FV('診断'!$B$32/12,A94*12,PMT('診断'!$B$32/12,'診断'!$C$11*12,'診断'!$C$9),'診断'!$C$9)))</x:f>
        <x:v>11561117.792292379</x:v>
      </x:c>
      <x:c r="J94" s="242" t="n">
        <x:f>'診断'!$C$7*(1+'診断'!$B$35)^A94</x:f>
        <x:v>15378177.50608434</x:v>
      </x:c>
      <x:c r="K94" s="242" t="n">
        <x:f>J94*(1-'診断'!$C$24)-'診断'!$C$25-I94</x:f>
        <x:v>3209579.856091177</x:v>
      </x:c>
      <x:c r="L94" s="242" t="n">
        <x:f>MAX(E94-MAX(I93-I94,0),0)</x:f>
        <x:v>343080.10969212535</x:v>
      </x:c>
      <x:c r="M94" s="242" t="n">
        <x:f>IF(OR($AI$20&lt;&gt;"OK",A94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93-1,0)))</x:f>
        <x:v>0</x:v>
      </x:c>
      <x:c r="N94" s="242" t="n">
        <x:f>IF(OR($AI$20&lt;&gt;"OK",A94&gt;'診断'!$C$16),0,MIN('診断'!$C$50*(1-'診断'!$C$53)*ROUNDUP(1/MAX(2,ROUNDDOWN(IF('診断'!$C$52&gt;=15,15*20%,(15-'診断'!$C$52)+'診断'!$C$52*20%),0)),3)*(12)/12,MAX(AA93-1,0)))</x:f>
        <x:v>0</x:v>
      </x:c>
      <x:c r="O94" s="242" t="n">
        <x:f>M94+N94</x:f>
        <x:v>0</x:v>
      </x:c>
      <x:c r="P94" s="134" t="n">
        <x:f>B94-C94-L94-O94</x:f>
        <x:v>64023.73069420946</x:v>
      </x:c>
      <x:c r="Q94" s="134" t="n">
        <x:f>L94*IF('診断'!$C$9&gt;0,$AI$17/'診断'!$C$9,0)</x:f>
        <x:v>333550.1066451219</x:v>
      </x:c>
      <x:c r="R94" s="134" t="n">
        <x:f>IF(P94&gt;=0,P94,MIN(0,P94+Q94))</x:f>
        <x:v>64023.73069420946</x:v>
      </x:c>
      <x:c r="S94" s="134" t="n">
        <x:f>ROUNDDOWN(MAX(($AI$8+R94)-IF(($AI$8+R94)&lt;=4890000,1040000,IF(($AI$8+R94)&lt;=6550000,670000,IF(($AI$8+R94)&lt;=23500000,620000,IF(($AI$8+R94)&lt;=24000000,480000,IF(($AI$8+R94)&lt;=24500000,320000,IF(($AI$8+R94)&lt;=25000000,160000,0))))))-$AI$10,0),-3)</x:f>
        <x:v>5994000</x:v>
      </x:c>
      <x:c r="T94" s="134" t="n">
        <x:f>ROUNDDOWN(MAX(IF(S94&lt;=1949000,S94*5%,IF(S94&lt;=3299000,S94*10%-97500,IF(S94&lt;=6949000,S94*20%-427500,IF(S94&lt;=8999000,S94*23%-636000,IF(S94&lt;=17999000,S94*33%-1536000,IF(S94&lt;=39999000,S94*40%-2796000,S94*45%-4796000)))))),0),-2)+ROUNDDOWN(ROUNDDOWN(MAX(IF(S94&lt;=1949000,S94*5%,IF(S94&lt;=3299000,S94*10%-97500,IF(S94&lt;=6949000,S94*20%-427500,IF(S94&lt;=8999000,S94*23%-636000,IF(S94&lt;=17999000,S94*33%-1536000,IF(S94&lt;=39999000,S94*40%-2796000,S94*45%-4796000)))))),0),-2)*2.1%,0)</x:f>
        <x:v>787497</x:v>
      </x:c>
      <x:c r="U94" s="134" t="n">
        <x:f>ROUNDDOWN(MAX(($AI$8+R94)-IF(($AI$8+R94)&lt;=24000000,430000,IF(($AI$8+R94)&lt;=24500000,290000,IF(($AI$8+R94)&lt;=25000000,150000,0)))-$AI$10,0),-3)</x:f>
        <x:v>6184000</x:v>
      </x:c>
      <x:c r="V94" s="134" t="n">
        <x:f>ROUNDDOWN(U94*10%,0)+5000</x:f>
        <x:v>623400</x:v>
      </x:c>
      <x:c r="W94" s="134" t="n">
        <x:f>IF($AI$20="OK",$AI$16-(T94+V94),0)</x:f>
        <x:v>0</x:v>
      </x:c>
      <x:c r="X94" s="134" t="n">
        <x:f>F94+W94</x:f>
        <x:v>-1207607.4167178671</x:v>
      </x:c>
      <x:c r="Y94" s="134" t="n">
        <x:f>Y93+X94</x:f>
        <x:v>-30798368.178694125</x:v>
      </x:c>
      <x:c r="Z94" s="134" t="n">
        <x:f>MAX(Z93-M94,0)</x:f>
        <x:v>0</x:v>
      </x:c>
      <x:c r="AA94" s="134" t="n">
        <x:f>MAX(AA93-N94,0)</x:f>
        <x:v>0</x:v>
      </x:c>
      <x:c r="AB94" s="134" t="n">
        <x:f>MAX('診断'!$C$7-'診断'!$C$50,0)+Z94+AA94+'診断'!$C$57</x:f>
        <x:v>35000000</x:v>
      </x:c>
      <x:c r="AC94" s="134" t="n">
        <x:f>MAX(J94-AB94-(J94*'診断'!$C$24+'診断'!$C$25)-'診断'!$C$58,0)</x:f>
        <x:v>0</x:v>
      </x:c>
      <x:c r="AD94" s="134" t="n">
        <x:f>IF($AI$20&lt;&gt;"OK",0,AC94*IF(AG94="長期",15%+5%+15%*2.1%,30%+9%+30%*2.1%))</x:f>
        <x:v>0</x:v>
      </x:c>
      <x:c r="AE94" s="134" t="n">
        <x:f>J94-(J94*'診断'!$C$24+'診断'!$C$25)-I94-AD94</x:f>
        <x:v>3209579.856091177</x:v>
      </x:c>
      <x:c r="AF94" s="134" t="n">
        <x:f>Y94+AE94-MAX(0,'診断'!$C$7+'診断'!$C$8-'診断'!$C$9)</x:f>
        <x:v>-28088788.32260295</x:v>
      </x:c>
      <x:c r="AG94" s="406" t="str">
        <x:f>IF('診断'!$C$49&lt;DATE(YEAR('診断'!$C$49)+A94-1-5,1,1),"長期","短期")</x:f>
        <x:v>長期</x:v>
      </x:c>
    </x:row>
    <x:row r="95" ht="20" customHeight="1">
      <x:c r="A95" s="197" t="n">
        <x:v>28</x:v>
      </x:c>
      <x:c r="B95" s="242" t="n">
        <x:f>'診断'!$C$12*12*'診断'!$B$30*'診断'!$B$31*(1-'診断'!$C$19)^(A95-1)</x:f>
        <x:v>1042339.5425966968</x:v>
      </x:c>
      <x:c r="C95" s="242" t="n">
        <x:f>(('診断'!$C$13+'診断'!$C$14)*12+'診断'!$C$21+'診断'!$C$22+B95*'診断'!$C$15)*'診断'!$B$33+'診断'!$C$23*'診断'!$B$34</x:f>
        <x:v>640146.2214122935</x:v>
      </x:c>
      <x:c r="D95" s="242" t="n">
        <x:f>B95-C95</x:f>
        <x:v>402193.32118440326</x:v>
      </x:c>
      <x:c r="E95" s="242" t="n">
        <x:f>IF(A95&lt;='診断'!$C$11,-PMT('診断'!$B$32/12,'診断'!$C$11*12,'診断'!$C$9)*12,0)</x:f>
        <x:v>1614711.257104202</x:v>
      </x:c>
      <x:c r="F95" s="242" t="n">
        <x:f>D95-E95</x:f>
        <x:v>-1212517.9359197987</x:v>
      </x:c>
      <x:c r="G95" s="242" t="n">
        <x:f>G94+F95</x:f>
        <x:v>-32010886.114613924</x:v>
      </x:c>
      <x:c r="H95" s="242" t="n">
        <x:f>H94+MAX(0,-F95)</x:f>
        <x:v>32010886.114613924</x:v>
      </x:c>
      <x:c r="I95" s="242" t="n">
        <x:f>IF(A95&gt;='診断'!$C$11,0,MAX(0,-FV('診断'!$B$32/12,A95*12,PMT('診断'!$B$32/12,'診断'!$C$11*12,'診断'!$C$9),'診断'!$C$9)))</x:f>
        <x:v>10253420.460592031</x:v>
      </x:c>
      <x:c r="J95" s="242" t="n">
        <x:f>'診断'!$C$7*(1+'診断'!$B$35)^A95</x:f>
        <x:v>14916832.18090181</x:v>
      </x:c>
      <x:c r="K95" s="242" t="n">
        <x:f>J95*(1-'診断'!$C$24)-'診断'!$C$25-I95</x:f>
        <x:v>4071156.2583400197</x:v>
      </x:c>
      <x:c r="L95" s="242" t="n">
        <x:f>MAX(E95-MAX(I94-I95,0),0)</x:f>
        <x:v>307013.9254038546</x:v>
      </x:c>
      <x:c r="M95" s="242" t="n">
        <x:f>IF(OR($AI$20&lt;&gt;"OK",A95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94-1,0)))</x:f>
        <x:v>0</x:v>
      </x:c>
      <x:c r="N95" s="242" t="n">
        <x:f>IF(OR($AI$20&lt;&gt;"OK",A95&gt;'診断'!$C$16),0,MIN('診断'!$C$50*(1-'診断'!$C$53)*ROUNDUP(1/MAX(2,ROUNDDOWN(IF('診断'!$C$52&gt;=15,15*20%,(15-'診断'!$C$52)+'診断'!$C$52*20%),0)),3)*(12)/12,MAX(AA94-1,0)))</x:f>
        <x:v>0</x:v>
      </x:c>
      <x:c r="O95" s="242" t="n">
        <x:f>M95+N95</x:f>
        <x:v>0</x:v>
      </x:c>
      <x:c r="P95" s="134" t="n">
        <x:f>B95-C95-L95-O95</x:f>
        <x:v>95179.39578054869</x:v>
      </x:c>
      <x:c r="Q95" s="134" t="n">
        <x:f>L95*IF('診断'!$C$9&gt;0,$AI$17/'診断'!$C$9,0)</x:f>
        <x:v>298485.760809303</x:v>
      </x:c>
      <x:c r="R95" s="134" t="n">
        <x:f>IF(P95&gt;=0,P95,MIN(0,P95+Q95))</x:f>
        <x:v>95179.39578054869</x:v>
      </x:c>
      <x:c r="S95" s="134" t="n">
        <x:f>ROUNDDOWN(MAX(($AI$8+R95)-IF(($AI$8+R95)&lt;=4890000,1040000,IF(($AI$8+R95)&lt;=6550000,670000,IF(($AI$8+R95)&lt;=23500000,620000,IF(($AI$8+R95)&lt;=24000000,480000,IF(($AI$8+R95)&lt;=24500000,320000,IF(($AI$8+R95)&lt;=25000000,160000,0))))))-$AI$10,0),-3)</x:f>
        <x:v>6025000</x:v>
      </x:c>
      <x:c r="T95" s="134" t="n">
        <x:f>ROUNDDOWN(MAX(IF(S95&lt;=1949000,S95*5%,IF(S95&lt;=3299000,S95*10%-97500,IF(S95&lt;=6949000,S95*20%-427500,IF(S95&lt;=8999000,S95*23%-636000,IF(S95&lt;=17999000,S95*33%-1536000,IF(S95&lt;=39999000,S95*40%-2796000,S95*45%-4796000)))))),0),-2)+ROUNDDOWN(ROUNDDOWN(MAX(IF(S95&lt;=1949000,S95*5%,IF(S95&lt;=3299000,S95*10%-97500,IF(S95&lt;=6949000,S95*20%-427500,IF(S95&lt;=8999000,S95*23%-636000,IF(S95&lt;=17999000,S95*33%-1536000,IF(S95&lt;=39999000,S95*40%-2796000,S95*45%-4796000)))))),0),-2)*2.1%,0)</x:f>
        <x:v>793827</x:v>
      </x:c>
      <x:c r="U95" s="134" t="n">
        <x:f>ROUNDDOWN(MAX(($AI$8+R95)-IF(($AI$8+R95)&lt;=24000000,430000,IF(($AI$8+R95)&lt;=24500000,290000,IF(($AI$8+R95)&lt;=25000000,150000,0)))-$AI$10,0),-3)</x:f>
        <x:v>6215000</x:v>
      </x:c>
      <x:c r="V95" s="134" t="n">
        <x:f>ROUNDDOWN(U95*10%,0)+5000</x:f>
        <x:v>626500</x:v>
      </x:c>
      <x:c r="W95" s="134" t="n">
        <x:f>IF($AI$20="OK",$AI$16-(T95+V95),0)</x:f>
        <x:v>0</x:v>
      </x:c>
      <x:c r="X95" s="134" t="n">
        <x:f>F95+W95</x:f>
        <x:v>-1212517.9359197987</x:v>
      </x:c>
      <x:c r="Y95" s="134" t="n">
        <x:f>Y94+X95</x:f>
        <x:v>-32010886.114613924</x:v>
      </x:c>
      <x:c r="Z95" s="134" t="n">
        <x:f>MAX(Z94-M95,0)</x:f>
        <x:v>0</x:v>
      </x:c>
      <x:c r="AA95" s="134" t="n">
        <x:f>MAX(AA94-N95,0)</x:f>
        <x:v>0</x:v>
      </x:c>
      <x:c r="AB95" s="134" t="n">
        <x:f>MAX('診断'!$C$7-'診断'!$C$50,0)+Z95+AA95+'診断'!$C$57</x:f>
        <x:v>35000000</x:v>
      </x:c>
      <x:c r="AC95" s="134" t="n">
        <x:f>MAX(J95-AB95-(J95*'診断'!$C$24+'診断'!$C$25)-'診断'!$C$58,0)</x:f>
        <x:v>0</x:v>
      </x:c>
      <x:c r="AD95" s="134" t="n">
        <x:f>IF($AI$20&lt;&gt;"OK",0,AC95*IF(AG95="長期",15%+5%+15%*2.1%,30%+9%+30%*2.1%))</x:f>
        <x:v>0</x:v>
      </x:c>
      <x:c r="AE95" s="134" t="n">
        <x:f>J95-(J95*'診断'!$C$24+'診断'!$C$25)-I95-AD95</x:f>
        <x:v>4071156.2583400197</x:v>
      </x:c>
      <x:c r="AF95" s="134" t="n">
        <x:f>Y95+AE95-MAX(0,'診断'!$C$7+'診断'!$C$8-'診断'!$C$9)</x:f>
        <x:v>-28439729.856273904</x:v>
      </x:c>
      <x:c r="AG95" s="406" t="str">
        <x:f>IF('診断'!$C$49&lt;DATE(YEAR('診断'!$C$49)+A95-1-5,1,1),"長期","短期")</x:f>
        <x:v>長期</x:v>
      </x:c>
    </x:row>
    <x:row r="96" ht="20" customHeight="1">
      <x:c r="A96" s="197" t="n">
        <x:v>29</x:v>
      </x:c>
      <x:c r="B96" s="242" t="n">
        <x:f>'診断'!$C$12*12*'診断'!$B$30*'診断'!$B$31*(1-'診断'!$C$19)^(A96-1)</x:f>
        <x:v>1037127.8448837134</x:v>
      </x:c>
      <x:c r="C96" s="242" t="n">
        <x:f>(('診断'!$C$13+'診断'!$C$14)*12+'診断'!$C$21+'診断'!$C$22+B96*'診断'!$C$15)*'診断'!$B$33+'診断'!$C$23*'診断'!$B$34</x:f>
        <x:v>639820.4903052321</x:v>
      </x:c>
      <x:c r="D96" s="242" t="n">
        <x:f>B96-C96</x:f>
        <x:v>397307.3545784813</x:v>
      </x:c>
      <x:c r="E96" s="242" t="n">
        <x:f>IF(A96&lt;='診断'!$C$11,-PMT('診断'!$B$32/12,'診断'!$C$11*12,'診断'!$C$9)*12,0)</x:f>
        <x:v>1614711.257104202</x:v>
      </x:c>
      <x:c r="F96" s="242" t="n">
        <x:f>D96-E96</x:f>
        <x:v>-1217403.9025257207</x:v>
      </x:c>
      <x:c r="G96" s="242" t="n">
        <x:f>G95+F96</x:f>
        <x:v>-33228290.017139643</x:v>
      </x:c>
      <x:c r="H96" s="242" t="n">
        <x:f>H95+MAX(0,-F96)</x:f>
        <x:v>33228290.017139643</x:v>
      </x:c>
      <x:c r="I96" s="242" t="n">
        <x:f>IF(A96&gt;='診断'!$C$11,0,MAX(0,-FV('診断'!$B$32/12,A96*12,PMT('診断'!$B$32/12,'診断'!$C$11*12,'診断'!$C$9),'診断'!$C$9)))</x:f>
        <x:v>8908634.030331597</x:v>
      </x:c>
      <x:c r="J96" s="242" t="n">
        <x:f>'診断'!$C$7*(1+'診断'!$B$35)^A96</x:f>
        <x:v>14469327.215474755</x:v>
      </x:c>
      <x:c r="K96" s="242" t="n">
        <x:f>J96*(1-'診断'!$C$24)-'診断'!$C$25-I96</x:f>
        <x:v>4983205.38703249</x:v>
      </x:c>
      <x:c r="L96" s="242" t="n">
        <x:f>MAX(E96-MAX(I95-I96,0),0)</x:f>
        <x:v>269924.8268437672</x:v>
      </x:c>
      <x:c r="M96" s="242" t="n">
        <x:f>IF(OR($AI$20&lt;&gt;"OK",A96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95-1,0)))</x:f>
        <x:v>0</x:v>
      </x:c>
      <x:c r="N96" s="242" t="n">
        <x:f>IF(OR($AI$20&lt;&gt;"OK",A96&gt;'診断'!$C$16),0,MIN('診断'!$C$50*(1-'診断'!$C$53)*ROUNDUP(1/MAX(2,ROUNDDOWN(IF('診断'!$C$52&gt;=15,15*20%,(15-'診断'!$C$52)+'診断'!$C$52*20%),0)),3)*(12)/12,MAX(AA95-1,0)))</x:f>
        <x:v>0</x:v>
      </x:c>
      <x:c r="O96" s="242" t="n">
        <x:f>M96+N96</x:f>
        <x:v>0</x:v>
      </x:c>
      <x:c r="P96" s="134" t="n">
        <x:f>B96-C96-L96-O96</x:f>
        <x:v>127382.5277347141</x:v>
      </x:c>
      <x:c r="Q96" s="134" t="n">
        <x:f>L96*IF('診断'!$C$9&gt;0,$AI$17/'診断'!$C$9,0)</x:f>
        <x:v>262426.91498699586</x:v>
      </x:c>
      <x:c r="R96" s="134" t="n">
        <x:f>IF(P96&gt;=0,P96,MIN(0,P96+Q96))</x:f>
        <x:v>127382.5277347141</x:v>
      </x:c>
      <x:c r="S96" s="134" t="n">
        <x:f>ROUNDDOWN(MAX(($AI$8+R96)-IF(($AI$8+R96)&lt;=4890000,1040000,IF(($AI$8+R96)&lt;=6550000,670000,IF(($AI$8+R96)&lt;=23500000,620000,IF(($AI$8+R96)&lt;=24000000,480000,IF(($AI$8+R96)&lt;=24500000,320000,IF(($AI$8+R96)&lt;=25000000,160000,0))))))-$AI$10,0),-3)</x:f>
        <x:v>6057000</x:v>
      </x:c>
      <x:c r="T96" s="134" t="n">
        <x:f>ROUNDDOWN(MAX(IF(S96&lt;=1949000,S96*5%,IF(S96&lt;=3299000,S96*10%-97500,IF(S96&lt;=6949000,S96*20%-427500,IF(S96&lt;=8999000,S96*23%-636000,IF(S96&lt;=17999000,S96*33%-1536000,IF(S96&lt;=39999000,S96*40%-2796000,S96*45%-4796000)))))),0),-2)+ROUNDDOWN(ROUNDDOWN(MAX(IF(S96&lt;=1949000,S96*5%,IF(S96&lt;=3299000,S96*10%-97500,IF(S96&lt;=6949000,S96*20%-427500,IF(S96&lt;=8999000,S96*23%-636000,IF(S96&lt;=17999000,S96*33%-1536000,IF(S96&lt;=39999000,S96*40%-2796000,S96*45%-4796000)))))),0),-2)*2.1%,0)</x:f>
        <x:v>800361</x:v>
      </x:c>
      <x:c r="U96" s="134" t="n">
        <x:f>ROUNDDOWN(MAX(($AI$8+R96)-IF(($AI$8+R96)&lt;=24000000,430000,IF(($AI$8+R96)&lt;=24500000,290000,IF(($AI$8+R96)&lt;=25000000,150000,0)))-$AI$10,0),-3)</x:f>
        <x:v>6247000</x:v>
      </x:c>
      <x:c r="V96" s="134" t="n">
        <x:f>ROUNDDOWN(U96*10%,0)+5000</x:f>
        <x:v>629700</x:v>
      </x:c>
      <x:c r="W96" s="134" t="n">
        <x:f>IF($AI$20="OK",$AI$16-(T96+V96),0)</x:f>
        <x:v>0</x:v>
      </x:c>
      <x:c r="X96" s="134" t="n">
        <x:f>F96+W96</x:f>
        <x:v>-1217403.9025257207</x:v>
      </x:c>
      <x:c r="Y96" s="134" t="n">
        <x:f>Y95+X96</x:f>
        <x:v>-33228290.017139643</x:v>
      </x:c>
      <x:c r="Z96" s="134" t="n">
        <x:f>MAX(Z95-M96,0)</x:f>
        <x:v>0</x:v>
      </x:c>
      <x:c r="AA96" s="134" t="n">
        <x:f>MAX(AA95-N96,0)</x:f>
        <x:v>0</x:v>
      </x:c>
      <x:c r="AB96" s="134" t="n">
        <x:f>MAX('診断'!$C$7-'診断'!$C$50,0)+Z96+AA96+'診断'!$C$57</x:f>
        <x:v>35000000</x:v>
      </x:c>
      <x:c r="AC96" s="134" t="n">
        <x:f>MAX(J96-AB96-(J96*'診断'!$C$24+'診断'!$C$25)-'診断'!$C$58,0)</x:f>
        <x:v>0</x:v>
      </x:c>
      <x:c r="AD96" s="134" t="n">
        <x:f>IF($AI$20&lt;&gt;"OK",0,AC96*IF(AG96="長期",15%+5%+15%*2.1%,30%+9%+30%*2.1%))</x:f>
        <x:v>0</x:v>
      </x:c>
      <x:c r="AE96" s="134" t="n">
        <x:f>J96-(J96*'診断'!$C$24+'診断'!$C$25)-I96-AD96</x:f>
        <x:v>4983205.38703249</x:v>
      </x:c>
      <x:c r="AF96" s="134" t="n">
        <x:f>Y96+AE96-MAX(0,'診断'!$C$7+'診断'!$C$8-'診断'!$C$9)</x:f>
        <x:v>-28745084.630107153</x:v>
      </x:c>
      <x:c r="AG96" s="406" t="str">
        <x:f>IF('診断'!$C$49&lt;DATE(YEAR('診断'!$C$49)+A96-1-5,1,1),"長期","短期")</x:f>
        <x:v>長期</x:v>
      </x:c>
    </x:row>
    <x:row r="97" ht="20" customHeight="1">
      <x:c r="A97" s="197" t="n">
        <x:v>30</x:v>
      </x:c>
      <x:c r="B97" s="242" t="n">
        <x:f>'診断'!$C$12*12*'診断'!$B$30*'診断'!$B$31*(1-'診断'!$C$19)^(A97-1)</x:f>
        <x:v>1031942.2056592947</x:v>
      </x:c>
      <x:c r="C97" s="242" t="n">
        <x:f>(('診断'!$C$13+'診断'!$C$14)*12+'診断'!$C$21+'診断'!$C$22+B97*'診断'!$C$15)*'診断'!$B$33+'診断'!$C$23*'診断'!$B$34</x:f>
        <x:v>639496.387853706</x:v>
      </x:c>
      <x:c r="D97" s="242" t="n">
        <x:f>B97-C97</x:f>
        <x:v>392445.8178055887</x:v>
      </x:c>
      <x:c r="E97" s="242" t="n">
        <x:f>IF(A97&lt;='診断'!$C$11,-PMT('診断'!$B$32/12,'診断'!$C$11*12,'診断'!$C$9)*12,0)</x:f>
        <x:v>1614711.257104202</x:v>
      </x:c>
      <x:c r="F97" s="242" t="n">
        <x:f>D97-E97</x:f>
        <x:v>-1222265.4392986132</x:v>
      </x:c>
      <x:c r="G97" s="242" t="n">
        <x:f>G96+F97</x:f>
        <x:v>-34450555.45643826</x:v>
      </x:c>
      <x:c r="H97" s="242" t="n">
        <x:f>H96+MAX(0,-F97)</x:f>
        <x:v>34450555.45643826</x:v>
      </x:c>
      <x:c r="I97" s="242" t="n">
        <x:f>IF(A97&gt;='診断'!$C$11,0,MAX(0,-FV('診断'!$B$32/12,A97*12,PMT('診断'!$B$32/12,'診断'!$C$11*12,'診断'!$C$9),'診断'!$C$9)))</x:f>
        <x:v>7525706.575198621</x:v>
      </x:c>
      <x:c r="J97" s="242" t="n">
        <x:f>'診断'!$C$7*(1+'診断'!$B$35)^A97</x:f>
        <x:v>14035247.399010511</x:v>
      </x:c>
      <x:c r="K97" s="242" t="n">
        <x:f>J97*(1-'診断'!$C$24)-'診断'!$C$25-I97</x:f>
        <x:v>5946377.659644544</x:v>
      </x:c>
      <x:c r="L97" s="242" t="n">
        <x:f>MAX(E97-MAX(I96-I97,0),0)</x:f>
        <x:v>231783.80197122577</x:v>
      </x:c>
      <x:c r="M97" s="242" t="n">
        <x:f>IF(OR($AI$20&lt;&gt;"OK",A97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96-1,0)))</x:f>
        <x:v>0</x:v>
      </x:c>
      <x:c r="N97" s="242" t="n">
        <x:f>IF(OR($AI$20&lt;&gt;"OK",A97&gt;'診断'!$C$16),0,MIN('診断'!$C$50*(1-'診断'!$C$53)*ROUNDUP(1/MAX(2,ROUNDDOWN(IF('診断'!$C$52&gt;=15,15*20%,(15-'診断'!$C$52)+'診断'!$C$52*20%),0)),3)*(12)/12,MAX(AA96-1,0)))</x:f>
        <x:v>0</x:v>
      </x:c>
      <x:c r="O97" s="242" t="n">
        <x:f>M97+N97</x:f>
        <x:v>0</x:v>
      </x:c>
      <x:c r="P97" s="134" t="n">
        <x:f>B97-C97-L97-O97</x:f>
        <x:v>160662.01583436294</x:v>
      </x:c>
      <x:c r="Q97" s="134" t="n">
        <x:f>L97*IF('診断'!$C$9&gt;0,$AI$17/'診断'!$C$9,0)</x:f>
        <x:v>225345.3630275806</x:v>
      </x:c>
      <x:c r="R97" s="134" t="n">
        <x:f>IF(P97&gt;=0,P97,MIN(0,P97+Q97))</x:f>
        <x:v>160662.01583436294</x:v>
      </x:c>
      <x:c r="S97" s="134" t="n">
        <x:f>ROUNDDOWN(MAX(($AI$8+R97)-IF(($AI$8+R97)&lt;=4890000,1040000,IF(($AI$8+R97)&lt;=6550000,670000,IF(($AI$8+R97)&lt;=23500000,620000,IF(($AI$8+R97)&lt;=24000000,480000,IF(($AI$8+R97)&lt;=24500000,320000,IF(($AI$8+R97)&lt;=25000000,160000,0))))))-$AI$10,0),-3)</x:f>
        <x:v>6090000</x:v>
      </x:c>
      <x:c r="T97" s="134" t="n">
        <x:f>ROUNDDOWN(MAX(IF(S97&lt;=1949000,S97*5%,IF(S97&lt;=3299000,S97*10%-97500,IF(S97&lt;=6949000,S97*20%-427500,IF(S97&lt;=8999000,S97*23%-636000,IF(S97&lt;=17999000,S97*33%-1536000,IF(S97&lt;=39999000,S97*40%-2796000,S97*45%-4796000)))))),0),-2)+ROUNDDOWN(ROUNDDOWN(MAX(IF(S97&lt;=1949000,S97*5%,IF(S97&lt;=3299000,S97*10%-97500,IF(S97&lt;=6949000,S97*20%-427500,IF(S97&lt;=8999000,S97*23%-636000,IF(S97&lt;=17999000,S97*33%-1536000,IF(S97&lt;=39999000,S97*40%-2796000,S97*45%-4796000)))))),0),-2)*2.1%,0)</x:f>
        <x:v>807100</x:v>
      </x:c>
      <x:c r="U97" s="134" t="n">
        <x:f>ROUNDDOWN(MAX(($AI$8+R97)-IF(($AI$8+R97)&lt;=24000000,430000,IF(($AI$8+R97)&lt;=24500000,290000,IF(($AI$8+R97)&lt;=25000000,150000,0)))-$AI$10,0),-3)</x:f>
        <x:v>6280000</x:v>
      </x:c>
      <x:c r="V97" s="134" t="n">
        <x:f>ROUNDDOWN(U97*10%,0)+5000</x:f>
        <x:v>633000</x:v>
      </x:c>
      <x:c r="W97" s="134" t="n">
        <x:f>IF($AI$20="OK",$AI$16-(T97+V97),0)</x:f>
        <x:v>0</x:v>
      </x:c>
      <x:c r="X97" s="134" t="n">
        <x:f>F97+W97</x:f>
        <x:v>-1222265.4392986132</x:v>
      </x:c>
      <x:c r="Y97" s="134" t="n">
        <x:f>Y96+X97</x:f>
        <x:v>-34450555.45643826</x:v>
      </x:c>
      <x:c r="Z97" s="134" t="n">
        <x:f>MAX(Z96-M97,0)</x:f>
        <x:v>0</x:v>
      </x:c>
      <x:c r="AA97" s="134" t="n">
        <x:f>MAX(AA96-N97,0)</x:f>
        <x:v>0</x:v>
      </x:c>
      <x:c r="AB97" s="134" t="n">
        <x:f>MAX('診断'!$C$7-'診断'!$C$50,0)+Z97+AA97+'診断'!$C$57</x:f>
        <x:v>35000000</x:v>
      </x:c>
      <x:c r="AC97" s="134" t="n">
        <x:f>MAX(J97-AB97-(J97*'診断'!$C$24+'診断'!$C$25)-'診断'!$C$58,0)</x:f>
        <x:v>0</x:v>
      </x:c>
      <x:c r="AD97" s="134" t="n">
        <x:f>IF($AI$20&lt;&gt;"OK",0,AC97*IF(AG97="長期",15%+5%+15%*2.1%,30%+9%+30%*2.1%))</x:f>
        <x:v>0</x:v>
      </x:c>
      <x:c r="AE97" s="134" t="n">
        <x:f>J97-(J97*'診断'!$C$24+'診断'!$C$25)-I97-AD97</x:f>
        <x:v>5946377.659644544</x:v>
      </x:c>
      <x:c r="AF97" s="134" t="n">
        <x:f>Y97+AE97-MAX(0,'診断'!$C$7+'診断'!$C$8-'診断'!$C$9)</x:f>
        <x:v>-29004177.796793714</x:v>
      </x:c>
      <x:c r="AG97" s="406" t="str">
        <x:f>IF('診断'!$C$49&lt;DATE(YEAR('診断'!$C$49)+A97-1-5,1,1),"長期","短期")</x:f>
        <x:v>長期</x:v>
      </x:c>
    </x:row>
    <x:row r="98" ht="20" customHeight="1">
      <x:c r="A98" s="197" t="n">
        <x:v>31</x:v>
      </x:c>
      <x:c r="B98" s="242" t="n">
        <x:f>'診断'!$C$12*12*'診断'!$B$30*'診断'!$B$31*(1-'診断'!$C$19)^(A98-1)</x:f>
        <x:v>1026782.4946309982</x:v>
      </x:c>
      <x:c r="C98" s="242" t="n">
        <x:f>(('診断'!$C$13+'診断'!$C$14)*12+'診断'!$C$21+'診断'!$C$22+B98*'診断'!$C$15)*'診断'!$B$33+'診断'!$C$23*'診断'!$B$34</x:f>
        <x:v>639173.9059144374</x:v>
      </x:c>
      <x:c r="D98" s="242" t="n">
        <x:f>B98-C98</x:f>
        <x:v>387608.58871656086</x:v>
      </x:c>
      <x:c r="E98" s="242" t="n">
        <x:f>IF(A98&lt;='診断'!$C$11,-PMT('診断'!$B$32/12,'診断'!$C$11*12,'診断'!$C$9)*12,0)</x:f>
        <x:v>1614711.257104202</x:v>
      </x:c>
      <x:c r="F98" s="242" t="n">
        <x:f>D98-E98</x:f>
        <x:v>-1227102.6683876412</x:v>
      </x:c>
      <x:c r="G98" s="242" t="n">
        <x:f>G97+F98</x:f>
        <x:v>-35677658.1248259</x:v>
      </x:c>
      <x:c r="H98" s="242" t="n">
        <x:f>H97+MAX(0,-F98)</x:f>
        <x:v>35677658.1248259</x:v>
      </x:c>
      <x:c r="I98" s="242" t="n">
        <x:f>IF(A98&gt;='診断'!$C$11,0,MAX(0,-FV('診断'!$B$32/12,A98*12,PMT('診断'!$B$32/12,'診断'!$C$11*12,'診断'!$C$9),'診断'!$C$9)))</x:f>
        <x:v>6103556.333996221</x:v>
      </x:c>
      <x:c r="J98" s="242" t="n">
        <x:f>'診断'!$C$7*(1+'診断'!$B$35)^A98</x:f>
        <x:v>13614189.977040196</x:v>
      </x:c>
      <x:c r="K98" s="242" t="n">
        <x:f>J98*(1-'診断'!$C$24)-'診断'!$C$25-I98</x:f>
        <x:v>6961365.373801647</x:v>
      </x:c>
      <x:c r="L98" s="242" t="n">
        <x:f>MAX(E98-MAX(I97-I98,0),0)</x:f>
        <x:v>192561.0159018028</x:v>
      </x:c>
      <x:c r="M98" s="242" t="n">
        <x:f>IF(OR($AI$20&lt;&gt;"OK",A98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97-1,0)))</x:f>
        <x:v>0</x:v>
      </x:c>
      <x:c r="N98" s="242" t="n">
        <x:f>IF(OR($AI$20&lt;&gt;"OK",A98&gt;'診断'!$C$16),0,MIN('診断'!$C$50*(1-'診断'!$C$53)*ROUNDUP(1/MAX(2,ROUNDDOWN(IF('診断'!$C$52&gt;=15,15*20%,(15-'診断'!$C$52)+'診断'!$C$52*20%),0)),3)*(12)/12,MAX(AA97-1,0)))</x:f>
        <x:v>0</x:v>
      </x:c>
      <x:c r="O98" s="242" t="n">
        <x:f>M98+N98</x:f>
        <x:v>0</x:v>
      </x:c>
      <x:c r="P98" s="134" t="n">
        <x:f>B98-C98-L98-O98</x:f>
        <x:v>195047.57281475805</x:v>
      </x:c>
      <x:c r="Q98" s="134" t="n">
        <x:f>L98*IF('診断'!$C$9&gt;0,$AI$17/'診断'!$C$9,0)</x:f>
        <x:v>187212.0987934194</x:v>
      </x:c>
      <x:c r="R98" s="134" t="n">
        <x:f>IF(P98&gt;=0,P98,MIN(0,P98+Q98))</x:f>
        <x:v>195047.57281475805</x:v>
      </x:c>
      <x:c r="S98" s="134" t="n">
        <x:f>ROUNDDOWN(MAX(($AI$8+R98)-IF(($AI$8+R98)&lt;=4890000,1040000,IF(($AI$8+R98)&lt;=6550000,670000,IF(($AI$8+R98)&lt;=23500000,620000,IF(($AI$8+R98)&lt;=24000000,480000,IF(($AI$8+R98)&lt;=24500000,320000,IF(($AI$8+R98)&lt;=25000000,160000,0))))))-$AI$10,0),-3)</x:f>
        <x:v>6125000</x:v>
      </x:c>
      <x:c r="T98" s="134" t="n">
        <x:f>ROUNDDOWN(MAX(IF(S98&lt;=1949000,S98*5%,IF(S98&lt;=3299000,S98*10%-97500,IF(S98&lt;=6949000,S98*20%-427500,IF(S98&lt;=8999000,S98*23%-636000,IF(S98&lt;=17999000,S98*33%-1536000,IF(S98&lt;=39999000,S98*40%-2796000,S98*45%-4796000)))))),0),-2)+ROUNDDOWN(ROUNDDOWN(MAX(IF(S98&lt;=1949000,S98*5%,IF(S98&lt;=3299000,S98*10%-97500,IF(S98&lt;=6949000,S98*20%-427500,IF(S98&lt;=8999000,S98*23%-636000,IF(S98&lt;=17999000,S98*33%-1536000,IF(S98&lt;=39999000,S98*40%-2796000,S98*45%-4796000)))))),0),-2)*2.1%,0)</x:f>
        <x:v>814247</x:v>
      </x:c>
      <x:c r="U98" s="134" t="n">
        <x:f>ROUNDDOWN(MAX(($AI$8+R98)-IF(($AI$8+R98)&lt;=24000000,430000,IF(($AI$8+R98)&lt;=24500000,290000,IF(($AI$8+R98)&lt;=25000000,150000,0)))-$AI$10,0),-3)</x:f>
        <x:v>6315000</x:v>
      </x:c>
      <x:c r="V98" s="134" t="n">
        <x:f>ROUNDDOWN(U98*10%,0)+5000</x:f>
        <x:v>636500</x:v>
      </x:c>
      <x:c r="W98" s="134" t="n">
        <x:f>IF($AI$20="OK",$AI$16-(T98+V98),0)</x:f>
        <x:v>0</x:v>
      </x:c>
      <x:c r="X98" s="134" t="n">
        <x:f>F98+W98</x:f>
        <x:v>-1227102.6683876412</x:v>
      </x:c>
      <x:c r="Y98" s="134" t="n">
        <x:f>Y97+X98</x:f>
        <x:v>-35677658.1248259</x:v>
      </x:c>
      <x:c r="Z98" s="134" t="n">
        <x:f>MAX(Z97-M98,0)</x:f>
        <x:v>0</x:v>
      </x:c>
      <x:c r="AA98" s="134" t="n">
        <x:f>MAX(AA97-N98,0)</x:f>
        <x:v>0</x:v>
      </x:c>
      <x:c r="AB98" s="134" t="n">
        <x:f>MAX('診断'!$C$7-'診断'!$C$50,0)+Z98+AA98+'診断'!$C$57</x:f>
        <x:v>35000000</x:v>
      </x:c>
      <x:c r="AC98" s="134" t="n">
        <x:f>MAX(J98-AB98-(J98*'診断'!$C$24+'診断'!$C$25)-'診断'!$C$58,0)</x:f>
        <x:v>0</x:v>
      </x:c>
      <x:c r="AD98" s="134" t="n">
        <x:f>IF($AI$20&lt;&gt;"OK",0,AC98*IF(AG98="長期",15%+5%+15%*2.1%,30%+9%+30%*2.1%))</x:f>
        <x:v>0</x:v>
      </x:c>
      <x:c r="AE98" s="134" t="n">
        <x:f>J98-(J98*'診断'!$C$24+'診断'!$C$25)-I98-AD98</x:f>
        <x:v>6961365.373801649</x:v>
      </x:c>
      <x:c r="AF98" s="134" t="n">
        <x:f>Y98+AE98-MAX(0,'診断'!$C$7+'診断'!$C$8-'診断'!$C$9)</x:f>
        <x:v>-29216292.751024254</x:v>
      </x:c>
      <x:c r="AG98" s="406" t="str">
        <x:f>IF('診断'!$C$49&lt;DATE(YEAR('診断'!$C$49)+A98-1-5,1,1),"長期","短期")</x:f>
        <x:v>長期</x:v>
      </x:c>
    </x:row>
    <x:row r="99" ht="20" customHeight="1">
      <x:c r="A99" s="197" t="n">
        <x:v>32</x:v>
      </x:c>
      <x:c r="B99" s="242" t="n">
        <x:f>'診断'!$C$12*12*'診断'!$B$30*'診断'!$B$31*(1-'診断'!$C$19)^(A99-1)</x:f>
        <x:v>1021648.5821578433</x:v>
      </x:c>
      <x:c r="C99" s="242" t="n">
        <x:f>(('診断'!$C$13+'診断'!$C$14)*12+'診断'!$C$21+'診断'!$C$22+B99*'診断'!$C$15)*'診断'!$B$33+'診断'!$C$23*'診断'!$B$34</x:f>
        <x:v>638853.0363848652</x:v>
      </x:c>
      <x:c r="D99" s="242" t="n">
        <x:f>B99-C99</x:f>
        <x:v>382795.5457729781</x:v>
      </x:c>
      <x:c r="E99" s="242" t="n">
        <x:f>IF(A99&lt;='診断'!$C$11,-PMT('診断'!$B$32/12,'診断'!$C$11*12,'診断'!$C$9)*12,0)</x:f>
        <x:v>1614711.257104202</x:v>
      </x:c>
      <x:c r="F99" s="242" t="n">
        <x:f>D99-E99</x:f>
        <x:v>-1231915.7113312238</x:v>
      </x:c>
      <x:c r="G99" s="242" t="n">
        <x:f>G98+F99</x:f>
        <x:v>-36909573.83615713</x:v>
      </x:c>
      <x:c r="H99" s="242" t="n">
        <x:f>H98+MAX(0,-F99)</x:f>
        <x:v>36909573.83615713</x:v>
      </x:c>
      <x:c r="I99" s="242" t="n">
        <x:f>IF(A99&gt;='診断'!$C$11,0,MAX(0,-FV('診断'!$B$32/12,A99*12,PMT('診断'!$B$32/12,'診断'!$C$11*12,'診断'!$C$9),'診断'!$C$9)))</x:f>
        <x:v>4641070.864461929</x:v>
      </x:c>
      <x:c r="J99" s="242" t="n">
        <x:f>'診断'!$C$7*(1+'診断'!$B$35)^A99</x:f>
        <x:v>13205764.27772899</x:v>
      </x:c>
      <x:c r="K99" s="242" t="n">
        <x:f>J99*(1-'診断'!$C$24)-'診断'!$C$25-I99</x:f>
        <x:v>8028903.192102004</x:v>
      </x:c>
      <x:c r="L99" s="242" t="n">
        <x:f>MAX(E99-MAX(I98-I99,0),0)</x:f>
        <x:v>152225.78756990912</x:v>
      </x:c>
      <x:c r="M99" s="242" t="n">
        <x:f>IF(OR($AI$20&lt;&gt;"OK",A99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98-1,0)))</x:f>
        <x:v>0</x:v>
      </x:c>
      <x:c r="N99" s="242" t="n">
        <x:f>IF(OR($AI$20&lt;&gt;"OK",A99&gt;'診断'!$C$16),0,MIN('診断'!$C$50*(1-'診断'!$C$53)*ROUNDUP(1/MAX(2,ROUNDDOWN(IF('診断'!$C$52&gt;=15,15*20%,(15-'診断'!$C$52)+'診断'!$C$52*20%),0)),3)*(12)/12,MAX(AA98-1,0)))</x:f>
        <x:v>0</x:v>
      </x:c>
      <x:c r="O99" s="242" t="n">
        <x:f>M99+N99</x:f>
        <x:v>0</x:v>
      </x:c>
      <x:c r="P99" s="134" t="n">
        <x:f>B99-C99-L99-O99</x:f>
        <x:v>230569.75820306898</x:v>
      </x:c>
      <x:c r="Q99" s="134" t="n">
        <x:f>L99*IF('診断'!$C$9&gt;0,$AI$17/'診断'!$C$9,0)</x:f>
        <x:v>147997.29347074497</x:v>
      </x:c>
      <x:c r="R99" s="134" t="n">
        <x:f>IF(P99&gt;=0,P99,MIN(0,P99+Q99))</x:f>
        <x:v>230569.75820306898</x:v>
      </x:c>
      <x:c r="S99" s="134" t="n">
        <x:f>ROUNDDOWN(MAX(($AI$8+R99)-IF(($AI$8+R99)&lt;=4890000,1040000,IF(($AI$8+R99)&lt;=6550000,670000,IF(($AI$8+R99)&lt;=23500000,620000,IF(($AI$8+R99)&lt;=24000000,480000,IF(($AI$8+R99)&lt;=24500000,320000,IF(($AI$8+R99)&lt;=25000000,160000,0))))))-$AI$10,0),-3)</x:f>
        <x:v>6160000</x:v>
      </x:c>
      <x:c r="T99" s="134" t="n">
        <x:f>ROUNDDOWN(MAX(IF(S99&lt;=1949000,S99*5%,IF(S99&lt;=3299000,S99*10%-97500,IF(S99&lt;=6949000,S99*20%-427500,IF(S99&lt;=8999000,S99*23%-636000,IF(S99&lt;=17999000,S99*33%-1536000,IF(S99&lt;=39999000,S99*40%-2796000,S99*45%-4796000)))))),0),-2)+ROUNDDOWN(ROUNDDOWN(MAX(IF(S99&lt;=1949000,S99*5%,IF(S99&lt;=3299000,S99*10%-97500,IF(S99&lt;=6949000,S99*20%-427500,IF(S99&lt;=8999000,S99*23%-636000,IF(S99&lt;=17999000,S99*33%-1536000,IF(S99&lt;=39999000,S99*40%-2796000,S99*45%-4796000)))))),0),-2)*2.1%,0)</x:f>
        <x:v>821394</x:v>
      </x:c>
      <x:c r="U99" s="134" t="n">
        <x:f>ROUNDDOWN(MAX(($AI$8+R99)-IF(($AI$8+R99)&lt;=24000000,430000,IF(($AI$8+R99)&lt;=24500000,290000,IF(($AI$8+R99)&lt;=25000000,150000,0)))-$AI$10,0),-3)</x:f>
        <x:v>6350000</x:v>
      </x:c>
      <x:c r="V99" s="134" t="n">
        <x:f>ROUNDDOWN(U99*10%,0)+5000</x:f>
        <x:v>640000</x:v>
      </x:c>
      <x:c r="W99" s="134" t="n">
        <x:f>IF($AI$20="OK",$AI$16-(T99+V99),0)</x:f>
        <x:v>0</x:v>
      </x:c>
      <x:c r="X99" s="134" t="n">
        <x:f>F99+W99</x:f>
        <x:v>-1231915.7113312238</x:v>
      </x:c>
      <x:c r="Y99" s="134" t="n">
        <x:f>Y98+X99</x:f>
        <x:v>-36909573.83615713</x:v>
      </x:c>
      <x:c r="Z99" s="134" t="n">
        <x:f>MAX(Z98-M99,0)</x:f>
        <x:v>0</x:v>
      </x:c>
      <x:c r="AA99" s="134" t="n">
        <x:f>MAX(AA98-N99,0)</x:f>
        <x:v>0</x:v>
      </x:c>
      <x:c r="AB99" s="134" t="n">
        <x:f>MAX('診断'!$C$7-'診断'!$C$50,0)+Z99+AA99+'診断'!$C$57</x:f>
        <x:v>35000000</x:v>
      </x:c>
      <x:c r="AC99" s="134" t="n">
        <x:f>MAX(J99-AB99-(J99*'診断'!$C$24+'診断'!$C$25)-'診断'!$C$58,0)</x:f>
        <x:v>0</x:v>
      </x:c>
      <x:c r="AD99" s="134" t="n">
        <x:f>IF($AI$20&lt;&gt;"OK",0,AC99*IF(AG99="長期",15%+5%+15%*2.1%,30%+9%+30%*2.1%))</x:f>
        <x:v>0</x:v>
      </x:c>
      <x:c r="AE99" s="134" t="n">
        <x:f>J99-(J99*'診断'!$C$24+'診断'!$C$25)-I99-AD99</x:f>
        <x:v>8028903.192102004</x:v>
      </x:c>
      <x:c r="AF99" s="134" t="n">
        <x:f>Y99+AE99-MAX(0,'診断'!$C$7+'診断'!$C$8-'診断'!$C$9)</x:f>
        <x:v>-29380670.644055124</x:v>
      </x:c>
      <x:c r="AG99" s="406" t="str">
        <x:f>IF('診断'!$C$49&lt;DATE(YEAR('診断'!$C$49)+A99-1-5,1,1),"長期","短期")</x:f>
        <x:v>長期</x:v>
      </x:c>
    </x:row>
    <x:row r="100" ht="20" customHeight="1">
      <x:c r="A100" s="197" t="n">
        <x:v>33</x:v>
      </x:c>
      <x:c r="B100" s="242" t="n">
        <x:f>'診断'!$C$12*12*'診断'!$B$30*'診断'!$B$31*(1-'診断'!$C$19)^(A100-1)</x:f>
        <x:v>1016540.3392470541</x:v>
      </x:c>
      <x:c r="C100" s="242" t="n">
        <x:f>(('診断'!$C$13+'診断'!$C$14)*12+'診断'!$C$21+'診断'!$C$22+B100*'診断'!$C$15)*'診断'!$B$33+'診断'!$C$23*'診断'!$B$34</x:f>
        <x:v>638533.7712029408</x:v>
      </x:c>
      <x:c r="D100" s="242" t="n">
        <x:f>B100-C100</x:f>
        <x:v>378006.5680441132</x:v>
      </x:c>
      <x:c r="E100" s="242" t="n">
        <x:f>IF(A100&lt;='診断'!$C$11,-PMT('診断'!$B$32/12,'診断'!$C$11*12,'診断'!$C$9)*12,0)</x:f>
        <x:v>1614711.257104202</x:v>
      </x:c>
      <x:c r="F100" s="242" t="n">
        <x:f>D100-E100</x:f>
        <x:v>-1236704.6890600887</x:v>
      </x:c>
      <x:c r="G100" s="242" t="n">
        <x:f>G99+F100</x:f>
        <x:v>-38146278.52521722</x:v>
      </x:c>
      <x:c r="H100" s="242" t="n">
        <x:f>H99+MAX(0,-F100)</x:f>
        <x:v>38146278.52521722</x:v>
      </x:c>
      <x:c r="I100" s="242" t="n">
        <x:f>IF(A100&gt;='診断'!$C$11,0,MAX(0,-FV('診断'!$B$32/12,A100*12,PMT('診断'!$B$32/12,'診断'!$C$11*12,'診断'!$C$9),'診断'!$C$9)))</x:f>
        <x:v>3137106.173086822</x:v>
      </x:c>
      <x:c r="J100" s="242" t="n">
        <x:f>'診断'!$C$7*(1+'診断'!$B$35)^A100</x:f>
        <x:v>12809591.349397121</x:v>
      </x:c>
      <x:c r="K100" s="242" t="n">
        <x:f>J100*(1-'診断'!$C$24)-'診断'!$C$25-I100</x:f>
        <x:v>9149768.661780193</x:v>
      </x:c>
      <x:c r="L100" s="242" t="n">
        <x:f>MAX(E100-MAX(I99-I100,0),0)</x:f>
        <x:v>110746.56572909537</x:v>
      </x:c>
      <x:c r="M100" s="242" t="n">
        <x:f>IF(OR($AI$20&lt;&gt;"OK",A100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99-1,0)))</x:f>
        <x:v>0</x:v>
      </x:c>
      <x:c r="N100" s="242" t="n">
        <x:f>IF(OR($AI$20&lt;&gt;"OK",A100&gt;'診断'!$C$16),0,MIN('診断'!$C$50*(1-'診断'!$C$53)*ROUNDUP(1/MAX(2,ROUNDDOWN(IF('診断'!$C$52&gt;=15,15*20%,(15-'診断'!$C$52)+'診断'!$C$52*20%),0)),3)*(12)/12,MAX(AA99-1,0)))</x:f>
        <x:v>0</x:v>
      </x:c>
      <x:c r="O100" s="242" t="n">
        <x:f>M100+N100</x:f>
        <x:v>0</x:v>
      </x:c>
      <x:c r="P100" s="134" t="n">
        <x:f>B100-C100-L100-O100</x:f>
        <x:v>267260.00231501786</x:v>
      </x:c>
      <x:c r="Q100" s="134" t="n">
        <x:f>L100*IF('診断'!$C$9&gt;0,$AI$17/'診断'!$C$9,0)</x:f>
        <x:v>107670.2722366205</x:v>
      </x:c>
      <x:c r="R100" s="134" t="n">
        <x:f>IF(P100&gt;=0,P100,MIN(0,P100+Q100))</x:f>
        <x:v>267260.00231501786</x:v>
      </x:c>
      <x:c r="S100" s="134" t="n">
        <x:f>ROUNDDOWN(MAX(($AI$8+R100)-IF(($AI$8+R100)&lt;=4890000,1040000,IF(($AI$8+R100)&lt;=6550000,670000,IF(($AI$8+R100)&lt;=23500000,620000,IF(($AI$8+R100)&lt;=24000000,480000,IF(($AI$8+R100)&lt;=24500000,320000,IF(($AI$8+R100)&lt;=25000000,160000,0))))))-$AI$10,0),-3)</x:f>
        <x:v>6197000</x:v>
      </x:c>
      <x:c r="T100" s="134" t="n">
        <x:f>ROUNDDOWN(MAX(IF(S100&lt;=1949000,S100*5%,IF(S100&lt;=3299000,S100*10%-97500,IF(S100&lt;=6949000,S100*20%-427500,IF(S100&lt;=8999000,S100*23%-636000,IF(S100&lt;=17999000,S100*33%-1536000,IF(S100&lt;=39999000,S100*40%-2796000,S100*45%-4796000)))))),0),-2)+ROUNDDOWN(ROUNDDOWN(MAX(IF(S100&lt;=1949000,S100*5%,IF(S100&lt;=3299000,S100*10%-97500,IF(S100&lt;=6949000,S100*20%-427500,IF(S100&lt;=8999000,S100*23%-636000,IF(S100&lt;=17999000,S100*33%-1536000,IF(S100&lt;=39999000,S100*40%-2796000,S100*45%-4796000)))))),0),-2)*2.1%,0)</x:f>
        <x:v>828949</x:v>
      </x:c>
      <x:c r="U100" s="134" t="n">
        <x:f>ROUNDDOWN(MAX(($AI$8+R100)-IF(($AI$8+R100)&lt;=24000000,430000,IF(($AI$8+R100)&lt;=24500000,290000,IF(($AI$8+R100)&lt;=25000000,150000,0)))-$AI$10,0),-3)</x:f>
        <x:v>6387000</x:v>
      </x:c>
      <x:c r="V100" s="134" t="n">
        <x:f>ROUNDDOWN(U100*10%,0)+5000</x:f>
        <x:v>643700</x:v>
      </x:c>
      <x:c r="W100" s="134" t="n">
        <x:f>IF($AI$20="OK",$AI$16-(T100+V100),0)</x:f>
        <x:v>0</x:v>
      </x:c>
      <x:c r="X100" s="134" t="n">
        <x:f>F100+W100</x:f>
        <x:v>-1236704.6890600887</x:v>
      </x:c>
      <x:c r="Y100" s="134" t="n">
        <x:f>Y99+X100</x:f>
        <x:v>-38146278.52521722</x:v>
      </x:c>
      <x:c r="Z100" s="134" t="n">
        <x:f>MAX(Z99-M100,0)</x:f>
        <x:v>0</x:v>
      </x:c>
      <x:c r="AA100" s="134" t="n">
        <x:f>MAX(AA99-N100,0)</x:f>
        <x:v>0</x:v>
      </x:c>
      <x:c r="AB100" s="134" t="n">
        <x:f>MAX('診断'!$C$7-'診断'!$C$50,0)+Z100+AA100+'診断'!$C$57</x:f>
        <x:v>35000000</x:v>
      </x:c>
      <x:c r="AC100" s="134" t="n">
        <x:f>MAX(J100-AB100-(J100*'診断'!$C$24+'診断'!$C$25)-'診断'!$C$58,0)</x:f>
        <x:v>0</x:v>
      </x:c>
      <x:c r="AD100" s="134" t="n">
        <x:f>IF($AI$20&lt;&gt;"OK",0,AC100*IF(AG100="長期",15%+5%+15%*2.1%,30%+9%+30%*2.1%))</x:f>
        <x:v>0</x:v>
      </x:c>
      <x:c r="AE100" s="134" t="n">
        <x:f>J100-(J100*'診断'!$C$24+'診断'!$C$25)-I100-AD100</x:f>
        <x:v>9149768.661780193</x:v>
      </x:c>
      <x:c r="AF100" s="134" t="n">
        <x:f>Y100+AE100-MAX(0,'診断'!$C$7+'診断'!$C$8-'診断'!$C$9)</x:f>
        <x:v>-29496509.863437027</x:v>
      </x:c>
      <x:c r="AG100" s="406" t="str">
        <x:f>IF('診断'!$C$49&lt;DATE(YEAR('診断'!$C$49)+A100-1-5,1,1),"長期","短期")</x:f>
        <x:v>長期</x:v>
      </x:c>
    </x:row>
    <x:row r="101" ht="20" customHeight="1">
      <x:c r="A101" s="197" t="n">
        <x:v>34</x:v>
      </x:c>
      <x:c r="B101" s="242" t="n">
        <x:f>'診断'!$C$12*12*'診断'!$B$30*'診断'!$B$31*(1-'診断'!$C$19)^(A101-1)</x:f>
        <x:v>1011457.6375508187</x:v>
      </x:c>
      <x:c r="C101" s="242" t="n">
        <x:f>(('診断'!$C$13+'診断'!$C$14)*12+'診断'!$C$21+'診断'!$C$22+B101*'診断'!$C$15)*'診断'!$B$33+'診断'!$C$23*'診断'!$B$34</x:f>
        <x:v>638216.1023469262</x:v>
      </x:c>
      <x:c r="D101" s="242" t="n">
        <x:f>B101-C101</x:f>
        <x:v>373241.5352038925</x:v>
      </x:c>
      <x:c r="E101" s="242" t="n">
        <x:f>IF(A101&lt;='診断'!$C$11,-PMT('診断'!$B$32/12,'診断'!$C$11*12,'診断'!$C$9)*12,0)</x:f>
        <x:v>1614711.257104202</x:v>
      </x:c>
      <x:c r="F101" s="242" t="n">
        <x:f>D101-E101</x:f>
        <x:v>-1241469.7219003094</x:v>
      </x:c>
      <x:c r="G101" s="242" t="n">
        <x:f>G100+F101</x:f>
        <x:v>-39387748.24711753</x:v>
      </x:c>
      <x:c r="H101" s="242" t="n">
        <x:f>H100+MAX(0,-F101)</x:f>
        <x:v>39387748.24711753</x:v>
      </x:c>
      <x:c r="I101" s="242" t="n">
        <x:f>IF(A101&gt;='診断'!$C$11,0,MAX(0,-FV('診断'!$B$32/12,A101*12,PMT('診断'!$B$32/12,'診断'!$C$11*12,'診断'!$C$9),'診断'!$C$9)))</x:f>
        <x:v>1590485.8202546984</x:v>
      </x:c>
      <x:c r="J101" s="242" t="n">
        <x:f>'診断'!$C$7*(1+'診断'!$B$35)^A101</x:f>
        <x:v>12425303.608915206</x:v>
      </x:c>
      <x:c r="K101" s="242" t="n">
        <x:f>J101*(1-'診断'!$C$24)-'診断'!$C$25-I101</x:f>
        <x:v>10324782.769566305</x:v>
      </x:c>
      <x:c r="L101" s="242" t="n">
        <x:f>MAX(E101-MAX(I100-I101,0),0)</x:f>
        <x:v>68090.9042720783</x:v>
      </x:c>
      <x:c r="M101" s="242" t="n">
        <x:f>IF(OR($AI$20&lt;&gt;"OK",A101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100-1,0)))</x:f>
        <x:v>0</x:v>
      </x:c>
      <x:c r="N101" s="242" t="n">
        <x:f>IF(OR($AI$20&lt;&gt;"OK",A101&gt;'診断'!$C$16),0,MIN('診断'!$C$50*(1-'診断'!$C$53)*ROUNDUP(1/MAX(2,ROUNDDOWN(IF('診断'!$C$52&gt;=15,15*20%,(15-'診断'!$C$52)+'診断'!$C$52*20%),0)),3)*(12)/12,MAX(AA100-1,0)))</x:f>
        <x:v>0</x:v>
      </x:c>
      <x:c r="O101" s="242" t="n">
        <x:f>M101+N101</x:f>
        <x:v>0</x:v>
      </x:c>
      <x:c r="P101" s="134" t="n">
        <x:f>B101-C101-L101-O101</x:f>
        <x:v>305150.6309318142</x:v>
      </x:c>
      <x:c r="Q101" s="134" t="n">
        <x:f>L101*IF('診断'!$C$9&gt;0,$AI$17/'診断'!$C$9,0)</x:f>
        <x:v>66199.49026452057</x:v>
      </x:c>
      <x:c r="R101" s="134" t="n">
        <x:f>IF(P101&gt;=0,P101,MIN(0,P101+Q101))</x:f>
        <x:v>305150.6309318142</x:v>
      </x:c>
      <x:c r="S101" s="134" t="n">
        <x:f>ROUNDDOWN(MAX(($AI$8+R101)-IF(($AI$8+R101)&lt;=4890000,1040000,IF(($AI$8+R101)&lt;=6550000,670000,IF(($AI$8+R101)&lt;=23500000,620000,IF(($AI$8+R101)&lt;=24000000,480000,IF(($AI$8+R101)&lt;=24500000,320000,IF(($AI$8+R101)&lt;=25000000,160000,0))))))-$AI$10,0),-3)</x:f>
        <x:v>6235000</x:v>
      </x:c>
      <x:c r="T101" s="134" t="n">
        <x:f>ROUNDDOWN(MAX(IF(S101&lt;=1949000,S101*5%,IF(S101&lt;=3299000,S101*10%-97500,IF(S101&lt;=6949000,S101*20%-427500,IF(S101&lt;=8999000,S101*23%-636000,IF(S101&lt;=17999000,S101*33%-1536000,IF(S101&lt;=39999000,S101*40%-2796000,S101*45%-4796000)))))),0),-2)+ROUNDDOWN(ROUNDDOWN(MAX(IF(S101&lt;=1949000,S101*5%,IF(S101&lt;=3299000,S101*10%-97500,IF(S101&lt;=6949000,S101*20%-427500,IF(S101&lt;=8999000,S101*23%-636000,IF(S101&lt;=17999000,S101*33%-1536000,IF(S101&lt;=39999000,S101*40%-2796000,S101*45%-4796000)))))),0),-2)*2.1%,0)</x:f>
        <x:v>836709</x:v>
      </x:c>
      <x:c r="U101" s="134" t="n">
        <x:f>ROUNDDOWN(MAX(($AI$8+R101)-IF(($AI$8+R101)&lt;=24000000,430000,IF(($AI$8+R101)&lt;=24500000,290000,IF(($AI$8+R101)&lt;=25000000,150000,0)))-$AI$10,0),-3)</x:f>
        <x:v>6425000</x:v>
      </x:c>
      <x:c r="V101" s="134" t="n">
        <x:f>ROUNDDOWN(U101*10%,0)+5000</x:f>
        <x:v>647500</x:v>
      </x:c>
      <x:c r="W101" s="134" t="n">
        <x:f>IF($AI$20="OK",$AI$16-(T101+V101),0)</x:f>
        <x:v>0</x:v>
      </x:c>
      <x:c r="X101" s="134" t="n">
        <x:f>F101+W101</x:f>
        <x:v>-1241469.7219003094</x:v>
      </x:c>
      <x:c r="Y101" s="134" t="n">
        <x:f>Y100+X101</x:f>
        <x:v>-39387748.24711753</x:v>
      </x:c>
      <x:c r="Z101" s="134" t="n">
        <x:f>MAX(Z100-M101,0)</x:f>
        <x:v>0</x:v>
      </x:c>
      <x:c r="AA101" s="134" t="n">
        <x:f>MAX(AA100-N101,0)</x:f>
        <x:v>0</x:v>
      </x:c>
      <x:c r="AB101" s="134" t="n">
        <x:f>MAX('診断'!$C$7-'診断'!$C$50,0)+Z101+AA101+'診断'!$C$57</x:f>
        <x:v>35000000</x:v>
      </x:c>
      <x:c r="AC101" s="134" t="n">
        <x:f>MAX(J101-AB101-(J101*'診断'!$C$24+'診断'!$C$25)-'診断'!$C$58,0)</x:f>
        <x:v>0</x:v>
      </x:c>
      <x:c r="AD101" s="134" t="n">
        <x:f>IF($AI$20&lt;&gt;"OK",0,AC101*IF(AG101="長期",15%+5%+15%*2.1%,30%+9%+30%*2.1%))</x:f>
        <x:v>0</x:v>
      </x:c>
      <x:c r="AE101" s="134" t="n">
        <x:f>J101-(J101*'診断'!$C$24+'診断'!$C$25)-I101-AD101</x:f>
        <x:v>10324782.769566305</x:v>
      </x:c>
      <x:c r="AF101" s="134" t="n">
        <x:f>Y101+AE101-MAX(0,'診断'!$C$7+'診断'!$C$8-'診断'!$C$9)</x:f>
        <x:v>-29562965.47755122</x:v>
      </x:c>
      <x:c r="AG101" s="406" t="str">
        <x:f>IF('診断'!$C$49&lt;DATE(YEAR('診断'!$C$49)+A101-1-5,1,1),"長期","短期")</x:f>
        <x:v>長期</x:v>
      </x:c>
    </x:row>
    <x:row r="102" ht="20" customHeight="1">
      <x:c r="A102" s="197" t="n">
        <x:v>35</x:v>
      </x:c>
      <x:c r="B102" s="242" t="n">
        <x:f>'診断'!$C$12*12*'診断'!$B$30*'診断'!$B$31*(1-'診断'!$C$19)^(A102-1)</x:f>
        <x:v>1006400.3493630646</x:v>
      </x:c>
      <x:c r="C102" s="242" t="n">
        <x:f>(('診断'!$C$13+'診断'!$C$14)*12+'診断'!$C$21+'診断'!$C$22+B102*'診断'!$C$15)*'診断'!$B$33+'診断'!$C$23*'診断'!$B$34</x:f>
        <x:v>637900.0218351916</x:v>
      </x:c>
      <x:c r="D102" s="242" t="n">
        <x:f>B102-C102</x:f>
        <x:v>368500.327527873</x:v>
      </x:c>
      <x:c r="E102" s="242" t="n">
        <x:f>IF(A102&lt;='診断'!$C$11,-PMT('診断'!$B$32/12,'診断'!$C$11*12,'診断'!$C$9)*12,0)</x:f>
        <x:v>1614711.257104202</x:v>
      </x:c>
      <x:c r="F102" s="242" t="n">
        <x:f>D102-E102</x:f>
        <x:v>-1246210.929576329</x:v>
      </x:c>
      <x:c r="G102" s="242" t="n">
        <x:f>G101+F102</x:f>
        <x:v>-40633959.17669386</x:v>
      </x:c>
      <x:c r="H102" s="242" t="n">
        <x:f>H101+MAX(0,-F102)</x:f>
        <x:v>40633959.17669386</x:v>
      </x:c>
      <x:c r="I102" s="242" t="n">
        <x:f>IF(A102&gt;='診断'!$C$11,0,MAX(0,-FV('診断'!$B$32/12,A102*12,PMT('診断'!$B$32/12,'診断'!$C$11*12,'診断'!$C$9),'診断'!$C$9)))</x:f>
        <x:v>0</x:v>
      </x:c>
      <x:c r="J102" s="242" t="n">
        <x:f>'診断'!$C$7*(1+'診断'!$B$35)^A102</x:f>
        <x:v>12052544.50064775</x:v>
      </x:c>
      <x:c r="K102" s="242" t="n">
        <x:f>J102*(1-'診断'!$C$24)-'診断'!$C$25-I102</x:f>
        <x:v>11554810.532126375</x:v>
      </x:c>
      <x:c r="L102" s="242" t="n">
        <x:f>MAX(E102-MAX(I101-I102,0),0)</x:f>
        <x:v>24225.436849503545</x:v>
      </x:c>
      <x:c r="M102" s="242" t="n">
        <x:f>IF(OR($AI$20&lt;&gt;"OK",A102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101-1,0)))</x:f>
        <x:v>0</x:v>
      </x:c>
      <x:c r="N102" s="242" t="n">
        <x:f>IF(OR($AI$20&lt;&gt;"OK",A102&gt;'診断'!$C$16),0,MIN('診断'!$C$50*(1-'診断'!$C$53)*ROUNDUP(1/MAX(2,ROUNDDOWN(IF('診断'!$C$52&gt;=15,15*20%,(15-'診断'!$C$52)+'診断'!$C$52*20%),0)),3)*(12)/12,MAX(AA101-1,0)))</x:f>
        <x:v>0</x:v>
      </x:c>
      <x:c r="O102" s="242" t="n">
        <x:f>M102+N102</x:f>
        <x:v>0</x:v>
      </x:c>
      <x:c r="P102" s="134" t="n">
        <x:f>B102-C102-L102-O102</x:f>
        <x:v>344274.89067836944</x:v>
      </x:c>
      <x:c r="Q102" s="134" t="n">
        <x:f>L102*IF('診断'!$C$9&gt;0,$AI$17/'診断'!$C$9,0)</x:f>
        <x:v>23552.508048128446</x:v>
      </x:c>
      <x:c r="R102" s="134" t="n">
        <x:f>IF(P102&gt;=0,P102,MIN(0,P102+Q102))</x:f>
        <x:v>344274.89067836944</x:v>
      </x:c>
      <x:c r="S102" s="134" t="n">
        <x:f>ROUNDDOWN(MAX(($AI$8+R102)-IF(($AI$8+R102)&lt;=4890000,1040000,IF(($AI$8+R102)&lt;=6550000,670000,IF(($AI$8+R102)&lt;=23500000,620000,IF(($AI$8+R102)&lt;=24000000,480000,IF(($AI$8+R102)&lt;=24500000,320000,IF(($AI$8+R102)&lt;=25000000,160000,0))))))-$AI$10,0),-3)</x:f>
        <x:v>6274000</x:v>
      </x:c>
      <x:c r="T102" s="134" t="n">
        <x:f>ROUNDDOWN(MAX(IF(S102&lt;=1949000,S102*5%,IF(S102&lt;=3299000,S102*10%-97500,IF(S102&lt;=6949000,S102*20%-427500,IF(S102&lt;=8999000,S102*23%-636000,IF(S102&lt;=17999000,S102*33%-1536000,IF(S102&lt;=39999000,S102*40%-2796000,S102*45%-4796000)))))),0),-2)+ROUNDDOWN(ROUNDDOWN(MAX(IF(S102&lt;=1949000,S102*5%,IF(S102&lt;=3299000,S102*10%-97500,IF(S102&lt;=6949000,S102*20%-427500,IF(S102&lt;=8999000,S102*23%-636000,IF(S102&lt;=17999000,S102*33%-1536000,IF(S102&lt;=39999000,S102*40%-2796000,S102*45%-4796000)))))),0),-2)*2.1%,0)</x:f>
        <x:v>844673</x:v>
      </x:c>
      <x:c r="U102" s="134" t="n">
        <x:f>ROUNDDOWN(MAX(($AI$8+R102)-IF(($AI$8+R102)&lt;=24000000,430000,IF(($AI$8+R102)&lt;=24500000,290000,IF(($AI$8+R102)&lt;=25000000,150000,0)))-$AI$10,0),-3)</x:f>
        <x:v>6464000</x:v>
      </x:c>
      <x:c r="V102" s="134" t="n">
        <x:f>ROUNDDOWN(U102*10%,0)+5000</x:f>
        <x:v>651400</x:v>
      </x:c>
      <x:c r="W102" s="134" t="n">
        <x:f>IF($AI$20="OK",$AI$16-(T102+V102),0)</x:f>
        <x:v>0</x:v>
      </x:c>
      <x:c r="X102" s="134" t="n">
        <x:f>F102+W102</x:f>
        <x:v>-1246210.929576329</x:v>
      </x:c>
      <x:c r="Y102" s="134" t="n">
        <x:f>Y101+X102</x:f>
        <x:v>-40633959.17669386</x:v>
      </x:c>
      <x:c r="Z102" s="134" t="n">
        <x:f>MAX(Z101-M102,0)</x:f>
        <x:v>0</x:v>
      </x:c>
      <x:c r="AA102" s="134" t="n">
        <x:f>MAX(AA101-N102,0)</x:f>
        <x:v>0</x:v>
      </x:c>
      <x:c r="AB102" s="134" t="n">
        <x:f>MAX('診断'!$C$7-'診断'!$C$50,0)+Z102+AA102+'診断'!$C$57</x:f>
        <x:v>35000000</x:v>
      </x:c>
      <x:c r="AC102" s="134" t="n">
        <x:f>MAX(J102-AB102-(J102*'診断'!$C$24+'診断'!$C$25)-'診断'!$C$58,0)</x:f>
        <x:v>0</x:v>
      </x:c>
      <x:c r="AD102" s="134" t="n">
        <x:f>IF($AI$20&lt;&gt;"OK",0,AC102*IF(AG102="長期",15%+5%+15%*2.1%,30%+9%+30%*2.1%))</x:f>
        <x:v>0</x:v>
      </x:c>
      <x:c r="AE102" s="134" t="n">
        <x:f>J102-(J102*'診断'!$C$24+'診断'!$C$25)-I102-AD102</x:f>
        <x:v>11554810.532126375</x:v>
      </x:c>
      <x:c r="AF102" s="134" t="n">
        <x:f>Y102+AE102-MAX(0,'診断'!$C$7+'診断'!$C$8-'診断'!$C$9)</x:f>
        <x:v>-29579148.644567482</x:v>
      </x:c>
      <x:c r="AG102" s="406" t="str">
        <x:f>IF('診断'!$C$49&lt;DATE(YEAR('診断'!$C$49)+A102-1-5,1,1),"長期","短期")</x:f>
        <x:v>長期</x:v>
      </x:c>
    </x:row>
    <x:row r="103" ht="20" customHeight="1">
      <x:c r="A103" s="197"/>
      <x:c r="B103" s="197"/>
      <x:c r="C103" s="197"/>
      <x:c r="D103" s="197"/>
      <x:c r="E103" s="197"/>
      <x:c r="F103" s="197"/>
      <x:c r="G103" s="197"/>
      <x:c r="H103" s="197"/>
      <x:c r="I103" s="197"/>
      <x:c r="J103" s="197"/>
      <x:c r="K103" s="197"/>
      <x:c r="L103" s="197"/>
      <x:c r="M103" s="197"/>
      <x:c r="N103" s="197"/>
      <x:c r="O103" s="197"/>
    </x:row>
    <x:row r="104" ht="20" customHeight="1">
      <x:c r="A104" s="197"/>
      <x:c r="B104" s="197"/>
      <x:c r="C104" s="197"/>
      <x:c r="D104" s="197"/>
      <x:c r="E104" s="197"/>
      <x:c r="F104" s="197"/>
      <x:c r="G104" s="197"/>
      <x:c r="H104" s="197"/>
      <x:c r="I104" s="197"/>
      <x:c r="J104" s="197"/>
      <x:c r="K104" s="197"/>
      <x:c r="L104" s="197"/>
      <x:c r="M104" s="197"/>
      <x:c r="N104" s="197"/>
      <x:c r="O104" s="197"/>
    </x:row>
    <x:row r="105" ht="20" customHeight="1">
      <x:c r="A105" s="197"/>
      <x:c r="B105" s="197"/>
      <x:c r="C105" s="197"/>
      <x:c r="D105" s="197"/>
      <x:c r="E105" s="197"/>
      <x:c r="F105" s="197"/>
      <x:c r="G105" s="197"/>
      <x:c r="H105" s="197"/>
      <x:c r="I105" s="197"/>
      <x:c r="J105" s="197"/>
      <x:c r="K105" s="197"/>
      <x:c r="L105" s="197"/>
      <x:c r="M105" s="197"/>
      <x:c r="N105" s="197"/>
      <x:c r="O105" s="197"/>
    </x:row>
    <x:row r="106" ht="20" customHeight="1">
      <x:c r="A106" s="278" t="str">
        <x:v>標準｜計算監査用</x:v>
      </x:c>
      <x:c r="B106" s="278"/>
      <x:c r="C106" s="278"/>
      <x:c r="D106" s="278"/>
      <x:c r="E106" s="278"/>
      <x:c r="F106" s="278"/>
      <x:c r="G106" s="278"/>
      <x:c r="H106" s="278"/>
      <x:c r="I106" s="278"/>
      <x:c r="J106" s="278"/>
      <x:c r="K106" s="278"/>
      <x:c r="L106" s="197"/>
      <x:c r="M106" s="197"/>
      <x:c r="N106" s="197"/>
      <x:c r="O106" s="197"/>
    </x:row>
    <x:row r="107" ht="20" customHeight="1">
      <x:c r="A107" s="279" t="str">
        <x:v>年</x:v>
      </x:c>
      <x:c r="B107" s="279" t="str">
        <x:v>実効家賃</x:v>
      </x:c>
      <x:c r="C107" s="279" t="str">
        <x:v>運営費</x:v>
      </x:c>
      <x:c r="D107" s="279" t="str">
        <x:v>NOI</x:v>
      </x:c>
      <x:c r="E107" s="279" t="str">
        <x:v>返済額</x:v>
      </x:c>
      <x:c r="F107" s="279" t="str">
        <x:v>年間CF</x:v>
      </x:c>
      <x:c r="G107" s="279" t="str">
        <x:v>累積CF</x:v>
      </x:c>
      <x:c r="H107" s="279" t="str">
        <x:v>追加投入現金</x:v>
      </x:c>
      <x:c r="I107" s="279" t="str">
        <x:v>残債</x:v>
      </x:c>
      <x:c r="J107" s="279" t="str">
        <x:v>推定売却価格</x:v>
      </x:c>
      <x:c r="K107" s="279" t="str">
        <x:v>売却後手取り</x:v>
      </x:c>
      <x:c r="L107" s="197" t="str">
        <x:v>支払利息</x:v>
      </x:c>
      <x:c r="M107" s="197" t="str">
        <x:v>躯体償却</x:v>
      </x:c>
      <x:c r="N107" s="197" t="str">
        <x:v>設備償却</x:v>
      </x:c>
      <x:c r="O107" s="197" t="str">
        <x:v>減価償却</x:v>
      </x:c>
      <x:c r="P107" t="str">
        <x:v>不動産所得</x:v>
      </x:c>
      <x:c r="Q107" t="str">
        <x:v>土地取得利息</x:v>
      </x:c>
      <x:c r="R107" t="str">
        <x:v>損益通算反映額</x:v>
      </x:c>
      <x:c r="S107" t="str">
        <x:v>所得税課税所得</x:v>
      </x:c>
      <x:c r="T107" t="str">
        <x:v>所得税等</x:v>
      </x:c>
      <x:c r="U107" t="str">
        <x:v>住民税課税所得</x:v>
      </x:c>
      <x:c r="V107" t="str">
        <x:v>住民税</x:v>
      </x:c>
      <x:c r="W107" t="str">
        <x:v>税効果</x:v>
      </x:c>
      <x:c r="X107" t="str">
        <x:v>税引後CF</x:v>
      </x:c>
      <x:c r="Y107" t="str">
        <x:v>税引後累積CF</x:v>
      </x:c>
      <x:c r="Z107" t="str">
        <x:v>躯体簿価</x:v>
      </x:c>
      <x:c r="AA107" t="str">
        <x:v>設備簿価</x:v>
      </x:c>
      <x:c r="AB107" t="str">
        <x:v>売却時取得費</x:v>
      </x:c>
      <x:c r="AC107" t="str">
        <x:v>課税譲渡所得</x:v>
      </x:c>
      <x:c r="AD107" t="str">
        <x:v>譲渡所得税</x:v>
      </x:c>
      <x:c r="AE107" t="str">
        <x:v>売却手取り（税後）</x:v>
      </x:c>
      <x:c r="AF107" t="str">
        <x:v>最終損益（税後）</x:v>
      </x:c>
      <x:c r="AG107" t="str">
        <x:v>長期・短期</x:v>
      </x:c>
    </x:row>
    <x:row r="108" ht="20" customHeight="1">
      <x:c r="A108" s="197" t="n">
        <x:v>1</x:v>
      </x:c>
      <x:c r="B108" s="242" t="n">
        <x:f>'診断'!$C$12*12*'診断'!$C$30*'診断'!$C$31*(1-'診断'!$C$19)^(A108-1)</x:f>
        <x:v>1482000</x:v>
      </x:c>
      <x:c r="C108" s="242" t="n">
        <x:f>(('診断'!$C$13+'診断'!$C$14)*12+'診断'!$C$21+'診断'!$C$22+B108*'診断'!$C$15)*'診断'!$C$33+'診断'!$C$23*'診断'!$C$34</x:f>
        <x:v>524100</x:v>
      </x:c>
      <x:c r="D108" s="242" t="n">
        <x:f>B108-C108</x:f>
        <x:v>957900</x:v>
      </x:c>
      <x:c r="E108" s="242" t="n">
        <x:f>IF(A108&lt;='診断'!$C$11,-PMT('診断'!$C$32/12,'診断'!$C$11*12,'診断'!$C$9)*12,0)</x:f>
        <x:v>1387114.7359884677</x:v>
      </x:c>
      <x:c r="F108" s="242" t="n">
        <x:f>D108-E108</x:f>
        <x:v>-429214.7359884677</x:v>
      </x:c>
      <x:c r="G108" s="242" t="n">
        <x:f>F108</x:f>
        <x:v>-429214.7359884677</x:v>
      </x:c>
      <x:c r="H108" s="242" t="n">
        <x:f>MAX(0,-F108)</x:f>
        <x:v>429214.7359884677</x:v>
      </x:c>
      <x:c r="I108" s="242" t="n">
        <x:f>IF(A108&gt;='診断'!$C$11,0,MAX(0,-FV('診断'!$C$32/12,A108*12,PMT('診断'!$C$32/12,'診断'!$C$11*12,'診断'!$C$9),'診断'!$C$9)))</x:f>
        <x:v>35254756.97581072</x:v>
      </x:c>
      <x:c r="J108" s="242" t="n">
        <x:f>'診断'!$C$7*(1+'診断'!$C$35)^A108</x:f>
        <x:v>34650000</x:v>
      </x:c>
      <x:c r="K108" s="242" t="n">
        <x:f>J108*(1-'診断'!$C$24)-'診断'!$C$25-I108</x:f>
        <x:v>-1848206.9758107215</x:v>
      </x:c>
      <x:c r="L108" s="242" t="n">
        <x:f>MAX(E108-MAX('診断'!$C$9-I108,0),0)</x:f>
        <x:v>641871.7117991892</x:v>
      </x:c>
      <x:c r="M108" s="242" t="n">
        <x:f>IF(OR($AI$20&lt;&gt;"OK",A108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(13-MONTH('診断'!$C$49))/12,MAX('診断'!$C$50*'診断'!$C$53-1,0)))</x:f>
        <x:v>0</x:v>
      </x:c>
      <x:c r="N108" s="242" t="n">
        <x:f>IF(OR($AI$20&lt;&gt;"OK",A108&gt;'診断'!$C$16),0,MIN('診断'!$C$50*(1-'診断'!$C$53)*ROUNDUP(1/MAX(2,ROUNDDOWN(IF('診断'!$C$52&gt;=15,15*20%,(15-'診断'!$C$52)+'診断'!$C$52*20%),0)),3)*(13-MONTH('診断'!$C$49))/12,MAX('診断'!$C$50*(1-'診断'!$C$53)-1,0)))</x:f>
        <x:v>0</x:v>
      </x:c>
      <x:c r="O108" s="242" t="n">
        <x:f>M108+N108</x:f>
        <x:v>0</x:v>
      </x:c>
      <x:c r="P108" s="134" t="n">
        <x:f>B108-C108-L108-O108</x:f>
        <x:v>316028.2882008108</x:v>
      </x:c>
      <x:c r="Q108" s="134" t="n">
        <x:f>L108*IF('診断'!$C$9&gt;0,$AI$17/'診断'!$C$9,0)</x:f>
        <x:v>624041.9420269895</x:v>
      </x:c>
      <x:c r="R108" s="134" t="n">
        <x:f>IF(P108&gt;=0,P108,MIN(0,P108+Q108))</x:f>
        <x:v>316028.2882008108</x:v>
      </x:c>
      <x:c r="S108" s="134" t="n">
        <x:f>ROUNDDOWN(MAX(($AI$8+R108)-IF(($AI$8+R108)&lt;=4890000,1040000,IF(($AI$8+R108)&lt;=6550000,670000,IF(($AI$8+R108)&lt;=23500000,620000,IF(($AI$8+R108)&lt;=24000000,480000,IF(($AI$8+R108)&lt;=24500000,320000,IF(($AI$8+R108)&lt;=25000000,160000,0))))))-$AI$10,0),-3)</x:f>
        <x:v>6246000</x:v>
      </x:c>
      <x:c r="T108" s="134" t="n">
        <x:f>ROUNDDOWN(MAX(IF(S108&lt;=1949000,S108*5%,IF(S108&lt;=3299000,S108*10%-97500,IF(S108&lt;=6949000,S108*20%-427500,IF(S108&lt;=8999000,S108*23%-636000,IF(S108&lt;=17999000,S108*33%-1536000,IF(S108&lt;=39999000,S108*40%-2796000,S108*45%-4796000)))))),0),-2)+ROUNDDOWN(ROUNDDOWN(MAX(IF(S108&lt;=1949000,S108*5%,IF(S108&lt;=3299000,S108*10%-97500,IF(S108&lt;=6949000,S108*20%-427500,IF(S108&lt;=8999000,S108*23%-636000,IF(S108&lt;=17999000,S108*33%-1536000,IF(S108&lt;=39999000,S108*40%-2796000,S108*45%-4796000)))))),0),-2)*2.1%,0)</x:f>
        <x:v>838955</x:v>
      </x:c>
      <x:c r="U108" s="134" t="n">
        <x:f>ROUNDDOWN(MAX(($AI$8+R108)-IF(($AI$8+R108)&lt;=24000000,430000,IF(($AI$8+R108)&lt;=24500000,290000,IF(($AI$8+R108)&lt;=25000000,150000,0)))-$AI$10,0),-3)</x:f>
        <x:v>6436000</x:v>
      </x:c>
      <x:c r="V108" s="134" t="n">
        <x:f>ROUNDDOWN(U108*10%,0)+5000</x:f>
        <x:v>648600</x:v>
      </x:c>
      <x:c r="W108" s="134" t="n">
        <x:f>IF($AI$20="OK",$AI$16-(T108+V108),0)</x:f>
        <x:v>0</x:v>
      </x:c>
      <x:c r="X108" s="134" t="n">
        <x:f>F108+W108</x:f>
        <x:v>-429214.7359884677</x:v>
      </x:c>
      <x:c r="Y108" s="134" t="n">
        <x:f>X108</x:f>
        <x:v>-429214.7359884677</x:v>
      </x:c>
      <x:c r="Z108" s="134" t="n">
        <x:f>MAX('診断'!$C$50*'診断'!$C$53-M108,0)</x:f>
        <x:v>0</x:v>
      </x:c>
      <x:c r="AA108" s="134" t="n">
        <x:f>MAX('診断'!$C$50*(1-'診断'!$C$53)-N108,0)</x:f>
        <x:v>0</x:v>
      </x:c>
      <x:c r="AB108" s="134" t="n">
        <x:f>MAX('診断'!$C$7-'診断'!$C$50,0)+Z108+AA108+'診断'!$C$57</x:f>
        <x:v>35000000</x:v>
      </x:c>
      <x:c r="AC108" s="134" t="n">
        <x:f>MAX(J108-AB108-(J108*'診断'!$C$24+'診断'!$C$25)-'診断'!$C$58,0)</x:f>
        <x:v>0</x:v>
      </x:c>
      <x:c r="AD108" s="134" t="n">
        <x:f>IF($AI$20&lt;&gt;"OK",0,AC108*IF(AG108="長期",15%+5%+15%*2.1%,30%+9%+30%*2.1%))</x:f>
        <x:v>0</x:v>
      </x:c>
      <x:c r="AE108" s="134" t="n">
        <x:f>J108-(J108*'診断'!$C$24+'診断'!$C$25)-I108-AD108</x:f>
        <x:v>-1848206.9758107215</x:v>
      </x:c>
      <x:c r="AF108" s="134" t="n">
        <x:f>Y108+AE108-MAX(0,'診断'!$C$7+'診断'!$C$8-'診断'!$C$9)</x:f>
        <x:v>-2777421.7117991894</x:v>
      </x:c>
      <x:c r="AG108" s="406" t="str">
        <x:f>IF('診断'!$C$49&lt;DATE(YEAR('診断'!$C$49)+A108-1-5,1,1),"長期","短期")</x:f>
        <x:v>短期</x:v>
      </x:c>
    </x:row>
    <x:row r="109" ht="20" customHeight="1">
      <x:c r="A109" s="197" t="n">
        <x:v>2</x:v>
      </x:c>
      <x:c r="B109" s="242" t="n">
        <x:f>'診断'!$C$12*12*'診断'!$C$30*'診断'!$C$31*(1-'診断'!$C$19)^(A109-1)</x:f>
        <x:v>1474590</x:v>
      </x:c>
      <x:c r="C109" s="242" t="n">
        <x:f>(('診断'!$C$13+'診断'!$C$14)*12+'診断'!$C$21+'診断'!$C$22+B109*'診断'!$C$15)*'診断'!$C$33+'診断'!$C$23*'診断'!$C$34</x:f>
        <x:v>523729.5</x:v>
      </x:c>
      <x:c r="D109" s="242" t="n">
        <x:f>B109-C109</x:f>
        <x:v>950860.5</x:v>
      </x:c>
      <x:c r="E109" s="242" t="n">
        <x:f>IF(A109&lt;='診断'!$C$11,-PMT('診断'!$C$32/12,'診断'!$C$11*12,'診断'!$C$9)*12,0)</x:f>
        <x:v>1387114.7359884677</x:v>
      </x:c>
      <x:c r="F109" s="242" t="n">
        <x:f>D109-E109</x:f>
        <x:v>-436254.2359884677</x:v>
      </x:c>
      <x:c r="G109" s="242" t="n">
        <x:f>G108+F109</x:f>
        <x:v>-865468.9719769354</x:v>
      </x:c>
      <x:c r="H109" s="242" t="n">
        <x:f>H108+MAX(0,-F109)</x:f>
        <x:v>865468.9719769354</x:v>
      </x:c>
      <x:c r="I109" s="242" t="n">
        <x:f>IF(A109&gt;='診断'!$C$11,0,MAX(0,-FV('診断'!$C$32/12,A109*12,PMT('診断'!$C$32/12,'診断'!$C$11*12,'診断'!$C$9),'診断'!$C$9)))</x:f>
        <x:v>34495988.35338197</x:v>
      </x:c>
      <x:c r="J109" s="242" t="n">
        <x:f>'診断'!$C$7*(1+'診断'!$C$35)^A109</x:f>
        <x:v>34303500</x:v>
      </x:c>
      <x:c r="K109" s="242" t="n">
        <x:f>J109*(1-'診断'!$C$24)-'診断'!$C$25-I109</x:f>
        <x:v>-1424503.853381969</x:v>
      </x:c>
      <x:c r="L109" s="242" t="n">
        <x:f>MAX(E109-MAX(I108-I109,0),0)</x:f>
        <x:v>628346.1135597152</x:v>
      </x:c>
      <x:c r="M109" s="242" t="n">
        <x:f>IF(OR($AI$20&lt;&gt;"OK",A109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108-1,0)))</x:f>
        <x:v>0</x:v>
      </x:c>
      <x:c r="N109" s="242" t="n">
        <x:f>IF(OR($AI$20&lt;&gt;"OK",A109&gt;'診断'!$C$16),0,MIN('診断'!$C$50*(1-'診断'!$C$53)*ROUNDUP(1/MAX(2,ROUNDDOWN(IF('診断'!$C$52&gt;=15,15*20%,(15-'診断'!$C$52)+'診断'!$C$52*20%),0)),3)*(12)/12,MAX(AA108-1,0)))</x:f>
        <x:v>0</x:v>
      </x:c>
      <x:c r="O109" s="242" t="n">
        <x:f>M109+N109</x:f>
        <x:v>0</x:v>
      </x:c>
      <x:c r="P109" s="134" t="n">
        <x:f>B109-C109-L109-O109</x:f>
        <x:v>322514.3864402848</x:v>
      </x:c>
      <x:c r="Q109" s="134" t="n">
        <x:f>L109*IF('診断'!$C$9&gt;0,$AI$17/'診断'!$C$9,0)</x:f>
        <x:v>610892.0548497231</x:v>
      </x:c>
      <x:c r="R109" s="134" t="n">
        <x:f>IF(P109&gt;=0,P109,MIN(0,P109+Q109))</x:f>
        <x:v>322514.3864402848</x:v>
      </x:c>
      <x:c r="S109" s="134" t="n">
        <x:f>ROUNDDOWN(MAX(($AI$8+R109)-IF(($AI$8+R109)&lt;=4890000,1040000,IF(($AI$8+R109)&lt;=6550000,670000,IF(($AI$8+R109)&lt;=23500000,620000,IF(($AI$8+R109)&lt;=24000000,480000,IF(($AI$8+R109)&lt;=24500000,320000,IF(($AI$8+R109)&lt;=25000000,160000,0))))))-$AI$10,0),-3)</x:f>
        <x:v>6252000</x:v>
      </x:c>
      <x:c r="T109" s="134" t="n">
        <x:f>ROUNDDOWN(MAX(IF(S109&lt;=1949000,S109*5%,IF(S109&lt;=3299000,S109*10%-97500,IF(S109&lt;=6949000,S109*20%-427500,IF(S109&lt;=8999000,S109*23%-636000,IF(S109&lt;=17999000,S109*33%-1536000,IF(S109&lt;=39999000,S109*40%-2796000,S109*45%-4796000)))))),0),-2)+ROUNDDOWN(ROUNDDOWN(MAX(IF(S109&lt;=1949000,S109*5%,IF(S109&lt;=3299000,S109*10%-97500,IF(S109&lt;=6949000,S109*20%-427500,IF(S109&lt;=8999000,S109*23%-636000,IF(S109&lt;=17999000,S109*33%-1536000,IF(S109&lt;=39999000,S109*40%-2796000,S109*45%-4796000)))))),0),-2)*2.1%,0)</x:f>
        <x:v>840180</x:v>
      </x:c>
      <x:c r="U109" s="134" t="n">
        <x:f>ROUNDDOWN(MAX(($AI$8+R109)-IF(($AI$8+R109)&lt;=24000000,430000,IF(($AI$8+R109)&lt;=24500000,290000,IF(($AI$8+R109)&lt;=25000000,150000,0)))-$AI$10,0),-3)</x:f>
        <x:v>6442000</x:v>
      </x:c>
      <x:c r="V109" s="134" t="n">
        <x:f>ROUNDDOWN(U109*10%,0)+5000</x:f>
        <x:v>649200</x:v>
      </x:c>
      <x:c r="W109" s="134" t="n">
        <x:f>IF($AI$20="OK",$AI$16-(T109+V109),0)</x:f>
        <x:v>0</x:v>
      </x:c>
      <x:c r="X109" s="134" t="n">
        <x:f>F109+W109</x:f>
        <x:v>-436254.2359884677</x:v>
      </x:c>
      <x:c r="Y109" s="134" t="n">
        <x:f>Y108+X109</x:f>
        <x:v>-865468.9719769354</x:v>
      </x:c>
      <x:c r="Z109" s="134" t="n">
        <x:f>MAX(Z108-M109,0)</x:f>
        <x:v>0</x:v>
      </x:c>
      <x:c r="AA109" s="134" t="n">
        <x:f>MAX(AA108-N109,0)</x:f>
        <x:v>0</x:v>
      </x:c>
      <x:c r="AB109" s="134" t="n">
        <x:f>MAX('診断'!$C$7-'診断'!$C$50,0)+Z109+AA109+'診断'!$C$57</x:f>
        <x:v>35000000</x:v>
      </x:c>
      <x:c r="AC109" s="134" t="n">
        <x:f>MAX(J109-AB109-(J109*'診断'!$C$24+'診断'!$C$25)-'診断'!$C$58,0)</x:f>
        <x:v>0</x:v>
      </x:c>
      <x:c r="AD109" s="134" t="n">
        <x:f>IF($AI$20&lt;&gt;"OK",0,AC109*IF(AG109="長期",15%+5%+15%*2.1%,30%+9%+30%*2.1%))</x:f>
        <x:v>0</x:v>
      </x:c>
      <x:c r="AE109" s="134" t="n">
        <x:f>J109-(J109*'診断'!$C$24+'診断'!$C$25)-I109-AD109</x:f>
        <x:v>-1424503.853381969</x:v>
      </x:c>
      <x:c r="AF109" s="134" t="n">
        <x:f>Y109+AE109-MAX(0,'診断'!$C$7+'診断'!$C$8-'診断'!$C$9)</x:f>
        <x:v>-2789972.8253589044</x:v>
      </x:c>
      <x:c r="AG109" s="406" t="str">
        <x:f>IF('診断'!$C$49&lt;DATE(YEAR('診断'!$C$49)+A109-1-5,1,1),"長期","短期")</x:f>
        <x:v>短期</x:v>
      </x:c>
    </x:row>
    <x:row r="110" ht="20" customHeight="1">
      <x:c r="A110" s="197" t="n">
        <x:v>3</x:v>
      </x:c>
      <x:c r="B110" s="242" t="n">
        <x:f>'診断'!$C$12*12*'診断'!$C$30*'診断'!$C$31*(1-'診断'!$C$19)^(A110-1)</x:f>
        <x:v>1467217.05</x:v>
      </x:c>
      <x:c r="C110" s="242" t="n">
        <x:f>(('診断'!$C$13+'診断'!$C$14)*12+'診断'!$C$21+'診断'!$C$22+B110*'診断'!$C$15)*'診断'!$C$33+'診断'!$C$23*'診断'!$C$34</x:f>
        <x:v>523360.85250000004</x:v>
      </x:c>
      <x:c r="D110" s="242" t="n">
        <x:f>B110-C110</x:f>
        <x:v>943856.1975</x:v>
      </x:c>
      <x:c r="E110" s="242" t="n">
        <x:f>IF(A110&lt;='診断'!$C$11,-PMT('診断'!$C$32/12,'診断'!$C$11*12,'診断'!$C$9)*12,0)</x:f>
        <x:v>1387114.7359884677</x:v>
      </x:c>
      <x:c r="F110" s="242" t="n">
        <x:f>D110-E110</x:f>
        <x:v>-443258.5384884677</x:v>
      </x:c>
      <x:c r="G110" s="242" t="n">
        <x:f>G109+F110</x:f>
        <x:v>-1308727.510465403</x:v>
      </x:c>
      <x:c r="H110" s="242" t="n">
        <x:f>H109+MAX(0,-F110)</x:f>
        <x:v>1308727.510465403</x:v>
      </x:c>
      <x:c r="I110" s="242" t="n">
        <x:f>IF(A110&gt;='診断'!$C$11,0,MAX(0,-FV('診断'!$C$32/12,A110*12,PMT('診断'!$C$32/12,'診断'!$C$11*12,'診断'!$C$9),'診断'!$C$9)))</x:f>
        <x:v>33723448.65331738</x:v>
      </x:c>
      <x:c r="J110" s="242" t="n">
        <x:f>'診断'!$C$7*(1+'診断'!$C$35)^A110</x:f>
        <x:v>33960465</x:v>
      </x:c>
      <x:c r="K110" s="242" t="n">
        <x:f>J110*(1-'診断'!$C$24)-'診断'!$C$25-I110</x:f>
        <x:v>-983678.9983173795</x:v>
      </x:c>
      <x:c r="L110" s="242" t="n">
        <x:f>MAX(E110-MAX(I109-I110,0),0)</x:f>
        <x:v>614575.0359238756</x:v>
      </x:c>
      <x:c r="M110" s="242" t="n">
        <x:f>IF(OR($AI$20&lt;&gt;"OK",A110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109-1,0)))</x:f>
        <x:v>0</x:v>
      </x:c>
      <x:c r="N110" s="242" t="n">
        <x:f>IF(OR($AI$20&lt;&gt;"OK",A110&gt;'診断'!$C$16),0,MIN('診断'!$C$50*(1-'診断'!$C$53)*ROUNDUP(1/MAX(2,ROUNDDOWN(IF('診断'!$C$52&gt;=15,15*20%,(15-'診断'!$C$52)+'診断'!$C$52*20%),0)),3)*(12)/12,MAX(AA109-1,0)))</x:f>
        <x:v>0</x:v>
      </x:c>
      <x:c r="O110" s="242" t="n">
        <x:f>M110+N110</x:f>
        <x:v>0</x:v>
      </x:c>
      <x:c r="P110" s="134" t="n">
        <x:f>B110-C110-L110-O110</x:f>
        <x:v>329281.1615761244</x:v>
      </x:c>
      <x:c r="Q110" s="134" t="n">
        <x:f>L110*IF('診断'!$C$9&gt;0,$AI$17/'診断'!$C$9,0)</x:f>
        <x:v>597503.5071482124</x:v>
      </x:c>
      <x:c r="R110" s="134" t="n">
        <x:f>IF(P110&gt;=0,P110,MIN(0,P110+Q110))</x:f>
        <x:v>329281.1615761244</x:v>
      </x:c>
      <x:c r="S110" s="134" t="n">
        <x:f>ROUNDDOWN(MAX(($AI$8+R110)-IF(($AI$8+R110)&lt;=4890000,1040000,IF(($AI$8+R110)&lt;=6550000,670000,IF(($AI$8+R110)&lt;=23500000,620000,IF(($AI$8+R110)&lt;=24000000,480000,IF(($AI$8+R110)&lt;=24500000,320000,IF(($AI$8+R110)&lt;=25000000,160000,0))))))-$AI$10,0),-3)</x:f>
        <x:v>6259000</x:v>
      </x:c>
      <x:c r="T110" s="134" t="n">
        <x:f>ROUNDDOWN(MAX(IF(S110&lt;=1949000,S110*5%,IF(S110&lt;=3299000,S110*10%-97500,IF(S110&lt;=6949000,S110*20%-427500,IF(S110&lt;=8999000,S110*23%-636000,IF(S110&lt;=17999000,S110*33%-1536000,IF(S110&lt;=39999000,S110*40%-2796000,S110*45%-4796000)))))),0),-2)+ROUNDDOWN(ROUNDDOWN(MAX(IF(S110&lt;=1949000,S110*5%,IF(S110&lt;=3299000,S110*10%-97500,IF(S110&lt;=6949000,S110*20%-427500,IF(S110&lt;=8999000,S110*23%-636000,IF(S110&lt;=17999000,S110*33%-1536000,IF(S110&lt;=39999000,S110*40%-2796000,S110*45%-4796000)))))),0),-2)*2.1%,0)</x:f>
        <x:v>841610</x:v>
      </x:c>
      <x:c r="U110" s="134" t="n">
        <x:f>ROUNDDOWN(MAX(($AI$8+R110)-IF(($AI$8+R110)&lt;=24000000,430000,IF(($AI$8+R110)&lt;=24500000,290000,IF(($AI$8+R110)&lt;=25000000,150000,0)))-$AI$10,0),-3)</x:f>
        <x:v>6449000</x:v>
      </x:c>
      <x:c r="V110" s="134" t="n">
        <x:f>ROUNDDOWN(U110*10%,0)+5000</x:f>
        <x:v>649900</x:v>
      </x:c>
      <x:c r="W110" s="134" t="n">
        <x:f>IF($AI$20="OK",$AI$16-(T110+V110),0)</x:f>
        <x:v>0</x:v>
      </x:c>
      <x:c r="X110" s="134" t="n">
        <x:f>F110+W110</x:f>
        <x:v>-443258.5384884677</x:v>
      </x:c>
      <x:c r="Y110" s="134" t="n">
        <x:f>Y109+X110</x:f>
        <x:v>-1308727.510465403</x:v>
      </x:c>
      <x:c r="Z110" s="134" t="n">
        <x:f>MAX(Z109-M110,0)</x:f>
        <x:v>0</x:v>
      </x:c>
      <x:c r="AA110" s="134" t="n">
        <x:f>MAX(AA109-N110,0)</x:f>
        <x:v>0</x:v>
      </x:c>
      <x:c r="AB110" s="134" t="n">
        <x:f>MAX('診断'!$C$7-'診断'!$C$50,0)+Z110+AA110+'診断'!$C$57</x:f>
        <x:v>35000000</x:v>
      </x:c>
      <x:c r="AC110" s="134" t="n">
        <x:f>MAX(J110-AB110-(J110*'診断'!$C$24+'診断'!$C$25)-'診断'!$C$58,0)</x:f>
        <x:v>0</x:v>
      </x:c>
      <x:c r="AD110" s="134" t="n">
        <x:f>IF($AI$20&lt;&gt;"OK",0,AC110*IF(AG110="長期",15%+5%+15%*2.1%,30%+9%+30%*2.1%))</x:f>
        <x:v>0</x:v>
      </x:c>
      <x:c r="AE110" s="134" t="n">
        <x:f>J110-(J110*'診断'!$C$24+'診断'!$C$25)-I110-AD110</x:f>
        <x:v>-983678.9983173758</x:v>
      </x:c>
      <x:c r="AF110" s="134" t="n">
        <x:f>Y110+AE110-MAX(0,'診断'!$C$7+'診断'!$C$8-'診断'!$C$9)</x:f>
        <x:v>-2792406.508782779</x:v>
      </x:c>
      <x:c r="AG110" s="406" t="str">
        <x:f>IF('診断'!$C$49&lt;DATE(YEAR('診断'!$C$49)+A110-1-5,1,1),"長期","短期")</x:f>
        <x:v>短期</x:v>
      </x:c>
    </x:row>
    <x:row r="111" ht="20" customHeight="1">
      <x:c r="A111" s="197" t="n">
        <x:v>4</x:v>
      </x:c>
      <x:c r="B111" s="242" t="n">
        <x:f>'診断'!$C$12*12*'診断'!$C$30*'診断'!$C$31*(1-'診断'!$C$19)^(A111-1)</x:f>
        <x:v>1459880.96475</x:v>
      </x:c>
      <x:c r="C111" s="242" t="n">
        <x:f>(('診断'!$C$13+'診断'!$C$14)*12+'診断'!$C$21+'診断'!$C$22+B111*'診断'!$C$15)*'診断'!$C$33+'診断'!$C$23*'診断'!$C$34</x:f>
        <x:v>522994.0482375</x:v>
      </x:c>
      <x:c r="D111" s="242" t="n">
        <x:f>B111-C111</x:f>
        <x:v>936886.9165125</x:v>
      </x:c>
      <x:c r="E111" s="242" t="n">
        <x:f>IF(A111&lt;='診断'!$C$11,-PMT('診断'!$C$32/12,'診断'!$C$11*12,'診断'!$C$9)*12,0)</x:f>
        <x:v>1387114.7359884677</x:v>
      </x:c>
      <x:c r="F111" s="242" t="n">
        <x:f>D111-E111</x:f>
        <x:v>-450227.81947596767</x:v>
      </x:c>
      <x:c r="G111" s="242" t="n">
        <x:f>G110+F111</x:f>
        <x:v>-1758955.3299413708</x:v>
      </x:c>
      <x:c r="H111" s="242" t="n">
        <x:f>H110+MAX(0,-F111)</x:f>
        <x:v>1758955.3299413708</x:v>
      </x:c>
      <x:c r="I111" s="242" t="n">
        <x:f>IF(A111&gt;='診断'!$C$11,0,MAX(0,-FV('診断'!$C$32/12,A111*12,PMT('診断'!$C$32/12,'診断'!$C$11*12,'診断'!$C$9),'診断'!$C$9)))</x:f>
        <x:v>32936887.940954838</x:v>
      </x:c>
      <x:c r="J111" s="242" t="n">
        <x:f>'診断'!$C$7*(1+'診断'!$C$35)^A111</x:f>
        <x:v>33620860.35</x:v>
      </x:c>
      <x:c r="K111" s="242" t="n">
        <x:f>J111*(1-'診断'!$C$24)-'診断'!$C$25-I111</x:f>
        <x:v>-525515.9825048372</x:v>
      </x:c>
      <x:c r="L111" s="242" t="n">
        <x:f>MAX(E111-MAX(I110-I111,0),0)</x:f>
        <x:v>600554.0236259287</x:v>
      </x:c>
      <x:c r="M111" s="242" t="n">
        <x:f>IF(OR($AI$20&lt;&gt;"OK",A111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110-1,0)))</x:f>
        <x:v>0</x:v>
      </x:c>
      <x:c r="N111" s="242" t="n">
        <x:f>IF(OR($AI$20&lt;&gt;"OK",A111&gt;'診断'!$C$16),0,MIN('診断'!$C$50*(1-'診断'!$C$53)*ROUNDUP(1/MAX(2,ROUNDDOWN(IF('診断'!$C$52&gt;=15,15*20%,(15-'診断'!$C$52)+'診断'!$C$52*20%),0)),3)*(12)/12,MAX(AA110-1,0)))</x:f>
        <x:v>0</x:v>
      </x:c>
      <x:c r="O111" s="242" t="n">
        <x:f>M111+N111</x:f>
        <x:v>0</x:v>
      </x:c>
      <x:c r="P111" s="134" t="n">
        <x:f>B111-C111-L111-O111</x:f>
        <x:v>336332.89288657135</x:v>
      </x:c>
      <x:c r="Q111" s="134" t="n">
        <x:f>L111*IF('診断'!$C$9&gt;0,$AI$17/'診断'!$C$9,0)</x:f>
        <x:v>583871.9674140973</x:v>
      </x:c>
      <x:c r="R111" s="134" t="n">
        <x:f>IF(P111&gt;=0,P111,MIN(0,P111+Q111))</x:f>
        <x:v>336332.89288657135</x:v>
      </x:c>
      <x:c r="S111" s="134" t="n">
        <x:f>ROUNDDOWN(MAX(($AI$8+R111)-IF(($AI$8+R111)&lt;=4890000,1040000,IF(($AI$8+R111)&lt;=6550000,670000,IF(($AI$8+R111)&lt;=23500000,620000,IF(($AI$8+R111)&lt;=24000000,480000,IF(($AI$8+R111)&lt;=24500000,320000,IF(($AI$8+R111)&lt;=25000000,160000,0))))))-$AI$10,0),-3)</x:f>
        <x:v>6266000</x:v>
      </x:c>
      <x:c r="T111" s="134" t="n">
        <x:f>ROUNDDOWN(MAX(IF(S111&lt;=1949000,S111*5%,IF(S111&lt;=3299000,S111*10%-97500,IF(S111&lt;=6949000,S111*20%-427500,IF(S111&lt;=8999000,S111*23%-636000,IF(S111&lt;=17999000,S111*33%-1536000,IF(S111&lt;=39999000,S111*40%-2796000,S111*45%-4796000)))))),0),-2)+ROUNDDOWN(ROUNDDOWN(MAX(IF(S111&lt;=1949000,S111*5%,IF(S111&lt;=3299000,S111*10%-97500,IF(S111&lt;=6949000,S111*20%-427500,IF(S111&lt;=8999000,S111*23%-636000,IF(S111&lt;=17999000,S111*33%-1536000,IF(S111&lt;=39999000,S111*40%-2796000,S111*45%-4796000)))))),0),-2)*2.1%,0)</x:f>
        <x:v>843039</x:v>
      </x:c>
      <x:c r="U111" s="134" t="n">
        <x:f>ROUNDDOWN(MAX(($AI$8+R111)-IF(($AI$8+R111)&lt;=24000000,430000,IF(($AI$8+R111)&lt;=24500000,290000,IF(($AI$8+R111)&lt;=25000000,150000,0)))-$AI$10,0),-3)</x:f>
        <x:v>6456000</x:v>
      </x:c>
      <x:c r="V111" s="134" t="n">
        <x:f>ROUNDDOWN(U111*10%,0)+5000</x:f>
        <x:v>650600</x:v>
      </x:c>
      <x:c r="W111" s="134" t="n">
        <x:f>IF($AI$20="OK",$AI$16-(T111+V111),0)</x:f>
        <x:v>0</x:v>
      </x:c>
      <x:c r="X111" s="134" t="n">
        <x:f>F111+W111</x:f>
        <x:v>-450227.81947596767</x:v>
      </x:c>
      <x:c r="Y111" s="134" t="n">
        <x:f>Y110+X111</x:f>
        <x:v>-1758955.3299413708</x:v>
      </x:c>
      <x:c r="Z111" s="134" t="n">
        <x:f>MAX(Z110-M111,0)</x:f>
        <x:v>0</x:v>
      </x:c>
      <x:c r="AA111" s="134" t="n">
        <x:f>MAX(AA110-N111,0)</x:f>
        <x:v>0</x:v>
      </x:c>
      <x:c r="AB111" s="134" t="n">
        <x:f>MAX('診断'!$C$7-'診断'!$C$50,0)+Z111+AA111+'診断'!$C$57</x:f>
        <x:v>35000000</x:v>
      </x:c>
      <x:c r="AC111" s="134" t="n">
        <x:f>MAX(J111-AB111-(J111*'診断'!$C$24+'診断'!$C$25)-'診断'!$C$58,0)</x:f>
        <x:v>0</x:v>
      </x:c>
      <x:c r="AD111" s="134" t="n">
        <x:f>IF($AI$20&lt;&gt;"OK",0,AC111*IF(AG111="長期",15%+5%+15%*2.1%,30%+9%+30%*2.1%))</x:f>
        <x:v>0</x:v>
      </x:c>
      <x:c r="AE111" s="134" t="n">
        <x:f>J111-(J111*'診断'!$C$24+'診断'!$C$25)-I111-AD111</x:f>
        <x:v>-525515.9825048372</x:v>
      </x:c>
      <x:c r="AF111" s="134" t="n">
        <x:f>Y111+AE111-MAX(0,'診断'!$C$7+'診断'!$C$8-'診断'!$C$9)</x:f>
        <x:v>-2784471.3124462077</x:v>
      </x:c>
      <x:c r="AG111" s="406" t="str">
        <x:f>IF('診断'!$C$49&lt;DATE(YEAR('診断'!$C$49)+A111-1-5,1,1),"長期","短期")</x:f>
        <x:v>短期</x:v>
      </x:c>
    </x:row>
    <x:row r="112" ht="20" customHeight="1">
      <x:c r="A112" s="197" t="n">
        <x:v>5</x:v>
      </x:c>
      <x:c r="B112" s="242" t="n">
        <x:f>'診断'!$C$12*12*'診断'!$C$30*'診断'!$C$31*(1-'診断'!$C$19)^(A112-1)</x:f>
        <x:v>1452581.55992625</x:v>
      </x:c>
      <x:c r="C112" s="242" t="n">
        <x:f>(('診断'!$C$13+'診断'!$C$14)*12+'診断'!$C$21+'診断'!$C$22+B112*'診断'!$C$15)*'診断'!$C$33+'診断'!$C$23*'診断'!$C$34</x:f>
        <x:v>522629.0779963125</x:v>
      </x:c>
      <x:c r="D112" s="242" t="n">
        <x:f>B112-C112</x:f>
        <x:v>929952.4819299375</x:v>
      </x:c>
      <x:c r="E112" s="242" t="n">
        <x:f>IF(A112&lt;='診断'!$C$11,-PMT('診断'!$C$32/12,'診断'!$C$11*12,'診断'!$C$9)*12,0)</x:f>
        <x:v>1387114.7359884677</x:v>
      </x:c>
      <x:c r="F112" s="242" t="n">
        <x:f>D112-E112</x:f>
        <x:v>-457162.2540585302</x:v>
      </x:c>
      <x:c r="G112" s="242" t="n">
        <x:f>G111+F112</x:f>
        <x:v>-2216117.583999901</x:v>
      </x:c>
      <x:c r="H112" s="242" t="n">
        <x:f>H111+MAX(0,-F112)</x:f>
        <x:v>2216117.583999901</x:v>
      </x:c>
      <x:c r="I112" s="242" t="n">
        <x:f>IF(A112&gt;='診断'!$C$11,0,MAX(0,-FV('診断'!$C$32/12,A112*12,PMT('診断'!$C$32/12,'診断'!$C$11*12,'診断'!$C$9),'診断'!$C$9)))</x:f>
        <x:v>32136051.745506845</x:v>
      </x:c>
      <x:c r="J112" s="242" t="n">
        <x:f>'診断'!$C$7*(1+'診断'!$C$35)^A112</x:f>
        <x:v>33284651.746499997</x:v>
      </x:c>
      <x:c r="K112" s="242" t="n">
        <x:f>J112*(1-'診断'!$C$24)-'診断'!$C$25-I112</x:f>
        <x:v>-49793.50664135069</x:v>
      </x:c>
      <x:c r="L112" s="242" t="n">
        <x:f>MAX(E112-MAX(I111-I112,0),0)</x:f>
        <x:v>586278.5405404752</x:v>
      </x:c>
      <x:c r="M112" s="242" t="n">
        <x:f>IF(OR($AI$20&lt;&gt;"OK",A112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111-1,0)))</x:f>
        <x:v>0</x:v>
      </x:c>
      <x:c r="N112" s="242" t="n">
        <x:f>IF(OR($AI$20&lt;&gt;"OK",A112&gt;'診断'!$C$16),0,MIN('診断'!$C$50*(1-'診断'!$C$53)*ROUNDUP(1/MAX(2,ROUNDDOWN(IF('診断'!$C$52&gt;=15,15*20%,(15-'診断'!$C$52)+'診断'!$C$52*20%),0)),3)*(12)/12,MAX(AA111-1,0)))</x:f>
        <x:v>0</x:v>
      </x:c>
      <x:c r="O112" s="242" t="n">
        <x:f>M112+N112</x:f>
        <x:v>0</x:v>
      </x:c>
      <x:c r="P112" s="134" t="n">
        <x:f>B112-C112-L112-O112</x:f>
        <x:v>343673.9413894623</x:v>
      </x:c>
      <x:c r="Q112" s="134" t="n">
        <x:f>L112*IF('診断'!$C$9&gt;0,$AI$17/'診断'!$C$9,0)</x:f>
        <x:v>569993.025525462</x:v>
      </x:c>
      <x:c r="R112" s="134" t="n">
        <x:f>IF(P112&gt;=0,P112,MIN(0,P112+Q112))</x:f>
        <x:v>343673.9413894623</x:v>
      </x:c>
      <x:c r="S112" s="134" t="n">
        <x:f>ROUNDDOWN(MAX(($AI$8+R112)-IF(($AI$8+R112)&lt;=4890000,1040000,IF(($AI$8+R112)&lt;=6550000,670000,IF(($AI$8+R112)&lt;=23500000,620000,IF(($AI$8+R112)&lt;=24000000,480000,IF(($AI$8+R112)&lt;=24500000,320000,IF(($AI$8+R112)&lt;=25000000,160000,0))))))-$AI$10,0),-3)</x:f>
        <x:v>6273000</x:v>
      </x:c>
      <x:c r="T112" s="134" t="n">
        <x:f>ROUNDDOWN(MAX(IF(S112&lt;=1949000,S112*5%,IF(S112&lt;=3299000,S112*10%-97500,IF(S112&lt;=6949000,S112*20%-427500,IF(S112&lt;=8999000,S112*23%-636000,IF(S112&lt;=17999000,S112*33%-1536000,IF(S112&lt;=39999000,S112*40%-2796000,S112*45%-4796000)))))),0),-2)+ROUNDDOWN(ROUNDDOWN(MAX(IF(S112&lt;=1949000,S112*5%,IF(S112&lt;=3299000,S112*10%-97500,IF(S112&lt;=6949000,S112*20%-427500,IF(S112&lt;=8999000,S112*23%-636000,IF(S112&lt;=17999000,S112*33%-1536000,IF(S112&lt;=39999000,S112*40%-2796000,S112*45%-4796000)))))),0),-2)*2.1%,0)</x:f>
        <x:v>844469</x:v>
      </x:c>
      <x:c r="U112" s="134" t="n">
        <x:f>ROUNDDOWN(MAX(($AI$8+R112)-IF(($AI$8+R112)&lt;=24000000,430000,IF(($AI$8+R112)&lt;=24500000,290000,IF(($AI$8+R112)&lt;=25000000,150000,0)))-$AI$10,0),-3)</x:f>
        <x:v>6463000</x:v>
      </x:c>
      <x:c r="V112" s="134" t="n">
        <x:f>ROUNDDOWN(U112*10%,0)+5000</x:f>
        <x:v>651300</x:v>
      </x:c>
      <x:c r="W112" s="134" t="n">
        <x:f>IF($AI$20="OK",$AI$16-(T112+V112),0)</x:f>
        <x:v>0</x:v>
      </x:c>
      <x:c r="X112" s="134" t="n">
        <x:f>F112+W112</x:f>
        <x:v>-457162.2540585302</x:v>
      </x:c>
      <x:c r="Y112" s="134" t="n">
        <x:f>Y111+X112</x:f>
        <x:v>-2216117.583999901</x:v>
      </x:c>
      <x:c r="Z112" s="134" t="n">
        <x:f>MAX(Z111-M112,0)</x:f>
        <x:v>0</x:v>
      </x:c>
      <x:c r="AA112" s="134" t="n">
        <x:f>MAX(AA111-N112,0)</x:f>
        <x:v>0</x:v>
      </x:c>
      <x:c r="AB112" s="134" t="n">
        <x:f>MAX('診断'!$C$7-'診断'!$C$50,0)+Z112+AA112+'診断'!$C$57</x:f>
        <x:v>35000000</x:v>
      </x:c>
      <x:c r="AC112" s="134" t="n">
        <x:f>MAX(J112-AB112-(J112*'診断'!$C$24+'診断'!$C$25)-'診断'!$C$58,0)</x:f>
        <x:v>0</x:v>
      </x:c>
      <x:c r="AD112" s="134" t="n">
        <x:f>IF($AI$20&lt;&gt;"OK",0,AC112*IF(AG112="長期",15%+5%+15%*2.1%,30%+9%+30%*2.1%))</x:f>
        <x:v>0</x:v>
      </x:c>
      <x:c r="AE112" s="134" t="n">
        <x:f>J112-(J112*'診断'!$C$24+'診断'!$C$25)-I112-AD112</x:f>
        <x:v>-49793.50664135069</x:v>
      </x:c>
      <x:c r="AF112" s="134" t="n">
        <x:f>Y112+AE112-MAX(0,'診断'!$C$7+'診断'!$C$8-'診断'!$C$9)</x:f>
        <x:v>-2765911.0906412518</x:v>
      </x:c>
      <x:c r="AG112" s="406" t="str">
        <x:f>IF('診断'!$C$49&lt;DATE(YEAR('診断'!$C$49)+A112-1-5,1,1),"長期","短期")</x:f>
        <x:v>短期</x:v>
      </x:c>
    </x:row>
    <x:row r="113" ht="20" customHeight="1">
      <x:c r="A113" s="197" t="n">
        <x:v>6</x:v>
      </x:c>
      <x:c r="B113" s="242" t="n">
        <x:f>'診断'!$C$12*12*'診断'!$C$30*'診断'!$C$31*(1-'診断'!$C$19)^(A113-1)</x:f>
        <x:v>1445318.6521266187</x:v>
      </x:c>
      <x:c r="C113" s="242" t="n">
        <x:f>(('診断'!$C$13+'診断'!$C$14)*12+'診断'!$C$21+'診断'!$C$22+B113*'診断'!$C$15)*'診断'!$C$33+'診断'!$C$23*'診断'!$C$34</x:f>
        <x:v>522265.93260633096</x:v>
      </x:c>
      <x:c r="D113" s="242" t="n">
        <x:f>B113-C113</x:f>
        <x:v>923052.7195202877</x:v>
      </x:c>
      <x:c r="E113" s="242" t="n">
        <x:f>IF(A113&lt;='診断'!$C$11,-PMT('診断'!$C$32/12,'診断'!$C$11*12,'診断'!$C$9)*12,0)</x:f>
        <x:v>1387114.7359884677</x:v>
      </x:c>
      <x:c r="F113" s="242" t="n">
        <x:f>D113-E113</x:f>
        <x:v>-464062.01646818</x:v>
      </x:c>
      <x:c r="G113" s="242" t="n">
        <x:f>G112+F113</x:f>
        <x:v>-2680179.600468081</x:v>
      </x:c>
      <x:c r="H113" s="242" t="n">
        <x:f>H112+MAX(0,-F113)</x:f>
        <x:v>2680179.600468081</x:v>
      </x:c>
      <x:c r="I113" s="242" t="n">
        <x:f>IF(A113&gt;='診断'!$C$11,0,MAX(0,-FV('診断'!$C$32/12,A113*12,PMT('診断'!$C$32/12,'診断'!$C$11*12,'診断'!$C$9),'診断'!$C$9)))</x:f>
        <x:v>31320680.97773323</x:v>
      </x:c>
      <x:c r="J113" s="242" t="n">
        <x:f>'診断'!$C$7*(1+'診断'!$C$35)^A113</x:f>
        <x:v>32951805.229035</x:v>
      </x:c>
      <x:c r="K113" s="242" t="n">
        <x:f>J113*(1-'診断'!$C$24)-'診断'!$C$25-I113</x:f>
        <x:v>443714.67874361575</x:v>
      </x:c>
      <x:c r="L113" s="242" t="n">
        <x:f>MAX(E113-MAX(I112-I113,0),0)</x:f>
        <x:v>571743.9682148506</x:v>
      </x:c>
      <x:c r="M113" s="242" t="n">
        <x:f>IF(OR($AI$20&lt;&gt;"OK",A113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112-1,0)))</x:f>
        <x:v>0</x:v>
      </x:c>
      <x:c r="N113" s="242" t="n">
        <x:f>IF(OR($AI$20&lt;&gt;"OK",A113&gt;'診断'!$C$16),0,MIN('診断'!$C$50*(1-'診断'!$C$53)*ROUNDUP(1/MAX(2,ROUNDDOWN(IF('診断'!$C$52&gt;=15,15*20%,(15-'診断'!$C$52)+'診断'!$C$52*20%),0)),3)*(12)/12,MAX(AA112-1,0)))</x:f>
        <x:v>0</x:v>
      </x:c>
      <x:c r="O113" s="242" t="n">
        <x:f>M113+N113</x:f>
        <x:v>0</x:v>
      </x:c>
      <x:c r="P113" s="134" t="n">
        <x:f>B113-C113-L113-O113</x:f>
        <x:v>351308.75130543706</x:v>
      </x:c>
      <x:c r="Q113" s="134" t="n">
        <x:f>L113*IF('診断'!$C$9&gt;0,$AI$17/'診断'!$C$9,0)</x:f>
        <x:v>555862.1913199937</x:v>
      </x:c>
      <x:c r="R113" s="134" t="n">
        <x:f>IF(P113&gt;=0,P113,MIN(0,P113+Q113))</x:f>
        <x:v>351308.75130543706</x:v>
      </x:c>
      <x:c r="S113" s="134" t="n">
        <x:f>ROUNDDOWN(MAX(($AI$8+R113)-IF(($AI$8+R113)&lt;=4890000,1040000,IF(($AI$8+R113)&lt;=6550000,670000,IF(($AI$8+R113)&lt;=23500000,620000,IF(($AI$8+R113)&lt;=24000000,480000,IF(($AI$8+R113)&lt;=24500000,320000,IF(($AI$8+R113)&lt;=25000000,160000,0))))))-$AI$10,0),-3)</x:f>
        <x:v>6281000</x:v>
      </x:c>
      <x:c r="T113" s="134" t="n">
        <x:f>ROUNDDOWN(MAX(IF(S113&lt;=1949000,S113*5%,IF(S113&lt;=3299000,S113*10%-97500,IF(S113&lt;=6949000,S113*20%-427500,IF(S113&lt;=8999000,S113*23%-636000,IF(S113&lt;=17999000,S113*33%-1536000,IF(S113&lt;=39999000,S113*40%-2796000,S113*45%-4796000)))))),0),-2)+ROUNDDOWN(ROUNDDOWN(MAX(IF(S113&lt;=1949000,S113*5%,IF(S113&lt;=3299000,S113*10%-97500,IF(S113&lt;=6949000,S113*20%-427500,IF(S113&lt;=8999000,S113*23%-636000,IF(S113&lt;=17999000,S113*33%-1536000,IF(S113&lt;=39999000,S113*40%-2796000,S113*45%-4796000)))))),0),-2)*2.1%,0)</x:f>
        <x:v>846102</x:v>
      </x:c>
      <x:c r="U113" s="134" t="n">
        <x:f>ROUNDDOWN(MAX(($AI$8+R113)-IF(($AI$8+R113)&lt;=24000000,430000,IF(($AI$8+R113)&lt;=24500000,290000,IF(($AI$8+R113)&lt;=25000000,150000,0)))-$AI$10,0),-3)</x:f>
        <x:v>6471000</x:v>
      </x:c>
      <x:c r="V113" s="134" t="n">
        <x:f>ROUNDDOWN(U113*10%,0)+5000</x:f>
        <x:v>652100</x:v>
      </x:c>
      <x:c r="W113" s="134" t="n">
        <x:f>IF($AI$20="OK",$AI$16-(T113+V113),0)</x:f>
        <x:v>0</x:v>
      </x:c>
      <x:c r="X113" s="134" t="n">
        <x:f>F113+W113</x:f>
        <x:v>-464062.01646818</x:v>
      </x:c>
      <x:c r="Y113" s="134" t="n">
        <x:f>Y112+X113</x:f>
        <x:v>-2680179.600468081</x:v>
      </x:c>
      <x:c r="Z113" s="134" t="n">
        <x:f>MAX(Z112-M113,0)</x:f>
        <x:v>0</x:v>
      </x:c>
      <x:c r="AA113" s="134" t="n">
        <x:f>MAX(AA112-N113,0)</x:f>
        <x:v>0</x:v>
      </x:c>
      <x:c r="AB113" s="134" t="n">
        <x:f>MAX('診断'!$C$7-'診断'!$C$50,0)+Z113+AA113+'診断'!$C$57</x:f>
        <x:v>35000000</x:v>
      </x:c>
      <x:c r="AC113" s="134" t="n">
        <x:f>MAX(J113-AB113-(J113*'診断'!$C$24+'診断'!$C$25)-'診断'!$C$58,0)</x:f>
        <x:v>0</x:v>
      </x:c>
      <x:c r="AD113" s="134" t="n">
        <x:f>IF($AI$20&lt;&gt;"OK",0,AC113*IF(AG113="長期",15%+5%+15%*2.1%,30%+9%+30%*2.1%))</x:f>
        <x:v>0</x:v>
      </x:c>
      <x:c r="AE113" s="134" t="n">
        <x:f>J113-(J113*'診断'!$C$24+'診断'!$C$25)-I113-AD113</x:f>
        <x:v>443714.6787436195</x:v>
      </x:c>
      <x:c r="AF113" s="134" t="n">
        <x:f>Y113+AE113-MAX(0,'診断'!$C$7+'診断'!$C$8-'診断'!$C$9)</x:f>
        <x:v>-2736464.9217244615</x:v>
      </x:c>
      <x:c r="AG113" s="406" t="str">
        <x:f>IF('診断'!$C$49&lt;DATE(YEAR('診断'!$C$49)+A113-1-5,1,1),"長期","短期")</x:f>
        <x:v>短期</x:v>
      </x:c>
    </x:row>
    <x:row r="114" ht="20" customHeight="1">
      <x:c r="A114" s="197" t="n">
        <x:v>7</x:v>
      </x:c>
      <x:c r="B114" s="242" t="n">
        <x:f>'診断'!$C$12*12*'診断'!$C$30*'診断'!$C$31*(1-'診断'!$C$19)^(A114-1)</x:f>
        <x:v>1438092.0588659856</x:v>
      </x:c>
      <x:c r="C114" s="242" t="n">
        <x:f>(('診断'!$C$13+'診断'!$C$14)*12+'診断'!$C$21+'診断'!$C$22+B114*'診断'!$C$15)*'診断'!$C$33+'診断'!$C$23*'診断'!$C$34</x:f>
        <x:v>521904.6029432993</x:v>
      </x:c>
      <x:c r="D114" s="242" t="n">
        <x:f>B114-C114</x:f>
        <x:v>916187.4559226863</x:v>
      </x:c>
      <x:c r="E114" s="242" t="n">
        <x:f>IF(A114&lt;='診断'!$C$11,-PMT('診断'!$C$32/12,'診断'!$C$11*12,'診断'!$C$9)*12,0)</x:f>
        <x:v>1387114.7359884677</x:v>
      </x:c>
      <x:c r="F114" s="242" t="n">
        <x:f>D114-E114</x:f>
        <x:v>-470927.28006578144</x:v>
      </x:c>
      <x:c r="G114" s="242" t="n">
        <x:f>G113+F114</x:f>
        <x:v>-3151106.8805338624</x:v>
      </x:c>
      <x:c r="H114" s="242" t="n">
        <x:f>H113+MAX(0,-F114)</x:f>
        <x:v>3151106.8805338624</x:v>
      </x:c>
      <x:c r="I114" s="242" t="n">
        <x:f>IF(A114&gt;='診断'!$C$11,0,MAX(0,-FV('診断'!$C$32/12,A114*12,PMT('診断'!$C$32/12,'診断'!$C$11*12,'診断'!$C$9),'診断'!$C$9)))</x:f>
        <x:v>30490511.846119687</x:v>
      </x:c>
      <x:c r="J114" s="242" t="n">
        <x:f>'診断'!$C$7*(1+'診断'!$C$35)^A114</x:f>
        <x:v>32622287.176744647</x:v>
      </x:c>
      <x:c r="K114" s="242" t="n">
        <x:f>J114*(1-'診断'!$C$24)-'診断'!$C$25-I114</x:f>
        <x:v>955239.8537923843</x:v>
      </x:c>
      <x:c r="L114" s="242" t="n">
        <x:f>MAX(E114-MAX(I113-I114,0),0)</x:f>
        <x:v>556945.6043749263</x:v>
      </x:c>
      <x:c r="M114" s="242" t="n">
        <x:f>IF(OR($AI$20&lt;&gt;"OK",A114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113-1,0)))</x:f>
        <x:v>0</x:v>
      </x:c>
      <x:c r="N114" s="242" t="n">
        <x:f>IF(OR($AI$20&lt;&gt;"OK",A114&gt;'診断'!$C$16),0,MIN('診断'!$C$50*(1-'診断'!$C$53)*ROUNDUP(1/MAX(2,ROUNDDOWN(IF('診断'!$C$52&gt;=15,15*20%,(15-'診断'!$C$52)+'診断'!$C$52*20%),0)),3)*(12)/12,MAX(AA113-1,0)))</x:f>
        <x:v>0</x:v>
      </x:c>
      <x:c r="O114" s="242" t="n">
        <x:f>M114+N114</x:f>
        <x:v>0</x:v>
      </x:c>
      <x:c r="P114" s="134" t="n">
        <x:f>B114-C114-L114-O114</x:f>
        <x:v>359241.85154775996</x:v>
      </x:c>
      <x:c r="Q114" s="134" t="n">
        <x:f>L114*IF('診断'!$C$9&gt;0,$AI$17/'診断'!$C$9,0)</x:f>
        <x:v>541474.8931422895</x:v>
      </x:c>
      <x:c r="R114" s="134" t="n">
        <x:f>IF(P114&gt;=0,P114,MIN(0,P114+Q114))</x:f>
        <x:v>359241.85154775996</x:v>
      </x:c>
      <x:c r="S114" s="134" t="n">
        <x:f>ROUNDDOWN(MAX(($AI$8+R114)-IF(($AI$8+R114)&lt;=4890000,1040000,IF(($AI$8+R114)&lt;=6550000,670000,IF(($AI$8+R114)&lt;=23500000,620000,IF(($AI$8+R114)&lt;=24000000,480000,IF(($AI$8+R114)&lt;=24500000,320000,IF(($AI$8+R114)&lt;=25000000,160000,0))))))-$AI$10,0),-3)</x:f>
        <x:v>6289000</x:v>
      </x:c>
      <x:c r="T114" s="134" t="n">
        <x:f>ROUNDDOWN(MAX(IF(S114&lt;=1949000,S114*5%,IF(S114&lt;=3299000,S114*10%-97500,IF(S114&lt;=6949000,S114*20%-427500,IF(S114&lt;=8999000,S114*23%-636000,IF(S114&lt;=17999000,S114*33%-1536000,IF(S114&lt;=39999000,S114*40%-2796000,S114*45%-4796000)))))),0),-2)+ROUNDDOWN(ROUNDDOWN(MAX(IF(S114&lt;=1949000,S114*5%,IF(S114&lt;=3299000,S114*10%-97500,IF(S114&lt;=6949000,S114*20%-427500,IF(S114&lt;=8999000,S114*23%-636000,IF(S114&lt;=17999000,S114*33%-1536000,IF(S114&lt;=39999000,S114*40%-2796000,S114*45%-4796000)))))),0),-2)*2.1%,0)</x:f>
        <x:v>847736</x:v>
      </x:c>
      <x:c r="U114" s="134" t="n">
        <x:f>ROUNDDOWN(MAX(($AI$8+R114)-IF(($AI$8+R114)&lt;=24000000,430000,IF(($AI$8+R114)&lt;=24500000,290000,IF(($AI$8+R114)&lt;=25000000,150000,0)))-$AI$10,0),-3)</x:f>
        <x:v>6479000</x:v>
      </x:c>
      <x:c r="V114" s="134" t="n">
        <x:f>ROUNDDOWN(U114*10%,0)+5000</x:f>
        <x:v>652900</x:v>
      </x:c>
      <x:c r="W114" s="134" t="n">
        <x:f>IF($AI$20="OK",$AI$16-(T114+V114),0)</x:f>
        <x:v>0</x:v>
      </x:c>
      <x:c r="X114" s="134" t="n">
        <x:f>F114+W114</x:f>
        <x:v>-470927.28006578144</x:v>
      </x:c>
      <x:c r="Y114" s="134" t="n">
        <x:f>Y113+X114</x:f>
        <x:v>-3151106.8805338624</x:v>
      </x:c>
      <x:c r="Z114" s="134" t="n">
        <x:f>MAX(Z113-M114,0)</x:f>
        <x:v>0</x:v>
      </x:c>
      <x:c r="AA114" s="134" t="n">
        <x:f>MAX(AA113-N114,0)</x:f>
        <x:v>0</x:v>
      </x:c>
      <x:c r="AB114" s="134" t="n">
        <x:f>MAX('診断'!$C$7-'診断'!$C$50,0)+Z114+AA114+'診断'!$C$57</x:f>
        <x:v>35000000</x:v>
      </x:c>
      <x:c r="AC114" s="134" t="n">
        <x:f>MAX(J114-AB114-(J114*'診断'!$C$24+'診断'!$C$25)-'診断'!$C$58,0)</x:f>
        <x:v>0</x:v>
      </x:c>
      <x:c r="AD114" s="134" t="n">
        <x:f>IF($AI$20&lt;&gt;"OK",0,AC114*IF(AG114="長期",15%+5%+15%*2.1%,30%+9%+30%*2.1%))</x:f>
        <x:v>0</x:v>
      </x:c>
      <x:c r="AE114" s="134" t="n">
        <x:f>J114-(J114*'診断'!$C$24+'診断'!$C$25)-I114-AD114</x:f>
        <x:v>955239.853792388</x:v>
      </x:c>
      <x:c r="AF114" s="134" t="n">
        <x:f>Y114+AE114-MAX(0,'診断'!$C$7+'診断'!$C$8-'診断'!$C$9)</x:f>
        <x:v>-2695867.0267414744</x:v>
      </x:c>
      <x:c r="AG114" s="406" t="str">
        <x:f>IF('診断'!$C$49&lt;DATE(YEAR('診断'!$C$49)+A114-1-5,1,1),"長期","短期")</x:f>
        <x:v>長期</x:v>
      </x:c>
    </x:row>
    <x:row r="115" ht="20" customHeight="1">
      <x:c r="A115" s="197" t="n">
        <x:v>8</x:v>
      </x:c>
      <x:c r="B115" s="242" t="n">
        <x:f>'診断'!$C$12*12*'診断'!$C$30*'診断'!$C$31*(1-'診断'!$C$19)^(A115-1)</x:f>
        <x:v>1430901.5985716556</x:v>
      </x:c>
      <x:c r="C115" s="242" t="n">
        <x:f>(('診断'!$C$13+'診断'!$C$14)*12+'診断'!$C$21+'診断'!$C$22+B115*'診断'!$C$15)*'診断'!$C$33+'診断'!$C$23*'診断'!$C$34</x:f>
        <x:v>521545.07992858277</x:v>
      </x:c>
      <x:c r="D115" s="242" t="n">
        <x:f>B115-C115</x:f>
        <x:v>909356.5186430728</x:v>
      </x:c>
      <x:c r="E115" s="242" t="n">
        <x:f>IF(A115&lt;='診断'!$C$11,-PMT('診断'!$C$32/12,'診断'!$C$11*12,'診断'!$C$9)*12,0)</x:f>
        <x:v>1387114.7359884677</x:v>
      </x:c>
      <x:c r="F115" s="242" t="n">
        <x:f>D115-E115</x:f>
        <x:v>-477758.2173453949</x:v>
      </x:c>
      <x:c r="G115" s="242" t="n">
        <x:f>G114+F115</x:f>
        <x:v>-3628865.097879257</x:v>
      </x:c>
      <x:c r="H115" s="242" t="n">
        <x:f>H114+MAX(0,-F115)</x:f>
        <x:v>3628865.097879257</x:v>
      </x:c>
      <x:c r="I115" s="242" t="n">
        <x:f>IF(A115&gt;='診断'!$C$11,0,MAX(0,-FV('診断'!$C$32/12,A115*12,PMT('診断'!$C$32/12,'診断'!$C$11*12,'診断'!$C$9),'診断'!$C$9)))</x:f>
        <x:v>29645275.77153513</x:v>
      </x:c>
      <x:c r="J115" s="242" t="n">
        <x:f>'診断'!$C$7*(1+'診断'!$C$35)^A115</x:f>
        <x:v>32296064.3049772</x:v>
      </x:c>
      <x:c r="K115" s="242" t="n">
        <x:f>J115*(1-'診断'!$C$24)-'診断'!$C$25-I115</x:f>
        <x:v>1485018.4113778248</x:v>
      </x:c>
      <x:c r="L115" s="242" t="n">
        <x:f>MAX(E115-MAX(I114-I115,0),0)</x:f>
        <x:v>541878.6614039091</x:v>
      </x:c>
      <x:c r="M115" s="242" t="n">
        <x:f>IF(OR($AI$20&lt;&gt;"OK",A115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114-1,0)))</x:f>
        <x:v>0</x:v>
      </x:c>
      <x:c r="N115" s="242" t="n">
        <x:f>IF(OR($AI$20&lt;&gt;"OK",A115&gt;'診断'!$C$16),0,MIN('診断'!$C$50*(1-'診断'!$C$53)*ROUNDUP(1/MAX(2,ROUNDDOWN(IF('診断'!$C$52&gt;=15,15*20%,(15-'診断'!$C$52)+'診断'!$C$52*20%),0)),3)*(12)/12,MAX(AA114-1,0)))</x:f>
        <x:v>0</x:v>
      </x:c>
      <x:c r="O115" s="242" t="n">
        <x:f>M115+N115</x:f>
        <x:v>0</x:v>
      </x:c>
      <x:c r="P115" s="134" t="n">
        <x:f>B115-C115-L115-O115</x:f>
        <x:v>367477.8572391637</x:v>
      </x:c>
      <x:c r="Q115" s="134" t="n">
        <x:f>L115*IF('診断'!$C$9&gt;0,$AI$17/'診断'!$C$9,0)</x:f>
        <x:v>526826.4763649117</x:v>
      </x:c>
      <x:c r="R115" s="134" t="n">
        <x:f>IF(P115&gt;=0,P115,MIN(0,P115+Q115))</x:f>
        <x:v>367477.8572391637</x:v>
      </x:c>
      <x:c r="S115" s="134" t="n">
        <x:f>ROUNDDOWN(MAX(($AI$8+R115)-IF(($AI$8+R115)&lt;=4890000,1040000,IF(($AI$8+R115)&lt;=6550000,670000,IF(($AI$8+R115)&lt;=23500000,620000,IF(($AI$8+R115)&lt;=24000000,480000,IF(($AI$8+R115)&lt;=24500000,320000,IF(($AI$8+R115)&lt;=25000000,160000,0))))))-$AI$10,0),-3)</x:f>
        <x:v>6297000</x:v>
      </x:c>
      <x:c r="T115" s="134" t="n">
        <x:f>ROUNDDOWN(MAX(IF(S115&lt;=1949000,S115*5%,IF(S115&lt;=3299000,S115*10%-97500,IF(S115&lt;=6949000,S115*20%-427500,IF(S115&lt;=8999000,S115*23%-636000,IF(S115&lt;=17999000,S115*33%-1536000,IF(S115&lt;=39999000,S115*40%-2796000,S115*45%-4796000)))))),0),-2)+ROUNDDOWN(ROUNDDOWN(MAX(IF(S115&lt;=1949000,S115*5%,IF(S115&lt;=3299000,S115*10%-97500,IF(S115&lt;=6949000,S115*20%-427500,IF(S115&lt;=8999000,S115*23%-636000,IF(S115&lt;=17999000,S115*33%-1536000,IF(S115&lt;=39999000,S115*40%-2796000,S115*45%-4796000)))))),0),-2)*2.1%,0)</x:f>
        <x:v>849369</x:v>
      </x:c>
      <x:c r="U115" s="134" t="n">
        <x:f>ROUNDDOWN(MAX(($AI$8+R115)-IF(($AI$8+R115)&lt;=24000000,430000,IF(($AI$8+R115)&lt;=24500000,290000,IF(($AI$8+R115)&lt;=25000000,150000,0)))-$AI$10,0),-3)</x:f>
        <x:v>6487000</x:v>
      </x:c>
      <x:c r="V115" s="134" t="n">
        <x:f>ROUNDDOWN(U115*10%,0)+5000</x:f>
        <x:v>653700</x:v>
      </x:c>
      <x:c r="W115" s="134" t="n">
        <x:f>IF($AI$20="OK",$AI$16-(T115+V115),0)</x:f>
        <x:v>0</x:v>
      </x:c>
      <x:c r="X115" s="134" t="n">
        <x:f>F115+W115</x:f>
        <x:v>-477758.2173453949</x:v>
      </x:c>
      <x:c r="Y115" s="134" t="n">
        <x:f>Y114+X115</x:f>
        <x:v>-3628865.097879257</x:v>
      </x:c>
      <x:c r="Z115" s="134" t="n">
        <x:f>MAX(Z114-M115,0)</x:f>
        <x:v>0</x:v>
      </x:c>
      <x:c r="AA115" s="134" t="n">
        <x:f>MAX(AA114-N115,0)</x:f>
        <x:v>0</x:v>
      </x:c>
      <x:c r="AB115" s="134" t="n">
        <x:f>MAX('診断'!$C$7-'診断'!$C$50,0)+Z115+AA115+'診断'!$C$57</x:f>
        <x:v>35000000</x:v>
      </x:c>
      <x:c r="AC115" s="134" t="n">
        <x:f>MAX(J115-AB115-(J115*'診断'!$C$24+'診断'!$C$25)-'診断'!$C$58,0)</x:f>
        <x:v>0</x:v>
      </x:c>
      <x:c r="AD115" s="134" t="n">
        <x:f>IF($AI$20&lt;&gt;"OK",0,AC115*IF(AG115="長期",15%+5%+15%*2.1%,30%+9%+30%*2.1%))</x:f>
        <x:v>0</x:v>
      </x:c>
      <x:c r="AE115" s="134" t="n">
        <x:f>J115-(J115*'診断'!$C$24+'診断'!$C$25)-I115-AD115</x:f>
        <x:v>1485018.4113778248</x:v>
      </x:c>
      <x:c r="AF115" s="134" t="n">
        <x:f>Y115+AE115-MAX(0,'診断'!$C$7+'診断'!$C$8-'診断'!$C$9)</x:f>
        <x:v>-2643846.686501432</x:v>
      </x:c>
      <x:c r="AG115" s="406" t="str">
        <x:f>IF('診断'!$C$49&lt;DATE(YEAR('診断'!$C$49)+A115-1-5,1,1),"長期","短期")</x:f>
        <x:v>長期</x:v>
      </x:c>
    </x:row>
    <x:row r="116" ht="20" customHeight="1">
      <x:c r="A116" s="197" t="n">
        <x:v>9</x:v>
      </x:c>
      <x:c r="B116" s="242" t="n">
        <x:f>'診断'!$C$12*12*'診断'!$C$30*'診断'!$C$31*(1-'診断'!$C$19)^(A116-1)</x:f>
        <x:v>1423747.0905787973</x:v>
      </x:c>
      <x:c r="C116" s="242" t="n">
        <x:f>(('診断'!$C$13+'診断'!$C$14)*12+'診断'!$C$21+'診断'!$C$22+B116*'診断'!$C$15)*'診断'!$C$33+'診断'!$C$23*'診断'!$C$34</x:f>
        <x:v>521187.3545289399</x:v>
      </x:c>
      <x:c r="D116" s="242" t="n">
        <x:f>B116-C116</x:f>
        <x:v>902559.7360498575</x:v>
      </x:c>
      <x:c r="E116" s="242" t="n">
        <x:f>IF(A116&lt;='診断'!$C$11,-PMT('診断'!$C$32/12,'診断'!$C$11*12,'診断'!$C$9)*12,0)</x:f>
        <x:v>1387114.7359884677</x:v>
      </x:c>
      <x:c r="F116" s="242" t="n">
        <x:f>D116-E116</x:f>
        <x:v>-484554.99993861024</x:v>
      </x:c>
      <x:c r="G116" s="242" t="n">
        <x:f>G115+F116</x:f>
        <x:v>-4113420.097817867</x:v>
      </x:c>
      <x:c r="H116" s="242" t="n">
        <x:f>H115+MAX(0,-F116)</x:f>
        <x:v>4113420.097817867</x:v>
      </x:c>
      <x:c r="I116" s="242" t="n">
        <x:f>IF(A116&gt;='診断'!$C$11,0,MAX(0,-FV('診断'!$C$32/12,A116*12,PMT('診断'!$C$32/12,'診断'!$C$11*12,'診断'!$C$9),'診断'!$C$9)))</x:f>
        <x:v>28784699.300339982</x:v>
      </x:c>
      <x:c r="J116" s="242" t="n">
        <x:f>'診断'!$C$7*(1+'診断'!$C$35)^A116</x:f>
        <x:v>31973103.661927428</x:v>
      </x:c>
      <x:c r="K116" s="242" t="n">
        <x:f>J116*(1-'診断'!$C$24)-'診断'!$C$25-I116</x:f>
        <x:v>2033291.9407438412</x:v>
      </x:c>
      <x:c r="L116" s="242" t="n">
        <x:f>MAX(E116-MAX(I115-I116,0),0)</x:f>
        <x:v>526538.2647933213</x:v>
      </x:c>
      <x:c r="M116" s="242" t="n">
        <x:f>IF(OR($AI$20&lt;&gt;"OK",A116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115-1,0)))</x:f>
        <x:v>0</x:v>
      </x:c>
      <x:c r="N116" s="242" t="n">
        <x:f>IF(OR($AI$20&lt;&gt;"OK",A116&gt;'診断'!$C$16),0,MIN('診断'!$C$50*(1-'診断'!$C$53)*ROUNDUP(1/MAX(2,ROUNDDOWN(IF('診断'!$C$52&gt;=15,15*20%,(15-'診断'!$C$52)+'診断'!$C$52*20%),0)),3)*(12)/12,MAX(AA115-1,0)))</x:f>
        <x:v>0</x:v>
      </x:c>
      <x:c r="O116" s="242" t="n">
        <x:f>M116+N116</x:f>
        <x:v>0</x:v>
      </x:c>
      <x:c r="P116" s="134" t="n">
        <x:f>B116-C116-L116-O116</x:f>
        <x:v>376021.4712565362</x:v>
      </x:c>
      <x:c r="Q116" s="134" t="n">
        <x:f>L116*IF('診断'!$C$9&gt;0,$AI$17/'診断'!$C$9,0)</x:f>
        <x:v>511912.20188239566</x:v>
      </x:c>
      <x:c r="R116" s="134" t="n">
        <x:f>IF(P116&gt;=0,P116,MIN(0,P116+Q116))</x:f>
        <x:v>376021.4712565362</x:v>
      </x:c>
      <x:c r="S116" s="134" t="n">
        <x:f>ROUNDDOWN(MAX(($AI$8+R116)-IF(($AI$8+R116)&lt;=4890000,1040000,IF(($AI$8+R116)&lt;=6550000,670000,IF(($AI$8+R116)&lt;=23500000,620000,IF(($AI$8+R116)&lt;=24000000,480000,IF(($AI$8+R116)&lt;=24500000,320000,IF(($AI$8+R116)&lt;=25000000,160000,0))))))-$AI$10,0),-3)</x:f>
        <x:v>6306000</x:v>
      </x:c>
      <x:c r="T116" s="134" t="n">
        <x:f>ROUNDDOWN(MAX(IF(S116&lt;=1949000,S116*5%,IF(S116&lt;=3299000,S116*10%-97500,IF(S116&lt;=6949000,S116*20%-427500,IF(S116&lt;=8999000,S116*23%-636000,IF(S116&lt;=17999000,S116*33%-1536000,IF(S116&lt;=39999000,S116*40%-2796000,S116*45%-4796000)))))),0),-2)+ROUNDDOWN(ROUNDDOWN(MAX(IF(S116&lt;=1949000,S116*5%,IF(S116&lt;=3299000,S116*10%-97500,IF(S116&lt;=6949000,S116*20%-427500,IF(S116&lt;=8999000,S116*23%-636000,IF(S116&lt;=17999000,S116*33%-1536000,IF(S116&lt;=39999000,S116*40%-2796000,S116*45%-4796000)))))),0),-2)*2.1%,0)</x:f>
        <x:v>851207</x:v>
      </x:c>
      <x:c r="U116" s="134" t="n">
        <x:f>ROUNDDOWN(MAX(($AI$8+R116)-IF(($AI$8+R116)&lt;=24000000,430000,IF(($AI$8+R116)&lt;=24500000,290000,IF(($AI$8+R116)&lt;=25000000,150000,0)))-$AI$10,0),-3)</x:f>
        <x:v>6496000</x:v>
      </x:c>
      <x:c r="V116" s="134" t="n">
        <x:f>ROUNDDOWN(U116*10%,0)+5000</x:f>
        <x:v>654600</x:v>
      </x:c>
      <x:c r="W116" s="134" t="n">
        <x:f>IF($AI$20="OK",$AI$16-(T116+V116),0)</x:f>
        <x:v>0</x:v>
      </x:c>
      <x:c r="X116" s="134" t="n">
        <x:f>F116+W116</x:f>
        <x:v>-484554.99993861024</x:v>
      </x:c>
      <x:c r="Y116" s="134" t="n">
        <x:f>Y115+X116</x:f>
        <x:v>-4113420.097817867</x:v>
      </x:c>
      <x:c r="Z116" s="134" t="n">
        <x:f>MAX(Z115-M116,0)</x:f>
        <x:v>0</x:v>
      </x:c>
      <x:c r="AA116" s="134" t="n">
        <x:f>MAX(AA115-N116,0)</x:f>
        <x:v>0</x:v>
      </x:c>
      <x:c r="AB116" s="134" t="n">
        <x:f>MAX('診断'!$C$7-'診断'!$C$50,0)+Z116+AA116+'診断'!$C$57</x:f>
        <x:v>35000000</x:v>
      </x:c>
      <x:c r="AC116" s="134" t="n">
        <x:f>MAX(J116-AB116-(J116*'診断'!$C$24+'診断'!$C$25)-'診断'!$C$58,0)</x:f>
        <x:v>0</x:v>
      </x:c>
      <x:c r="AD116" s="134" t="n">
        <x:f>IF($AI$20&lt;&gt;"OK",0,AC116*IF(AG116="長期",15%+5%+15%*2.1%,30%+9%+30%*2.1%))</x:f>
        <x:v>0</x:v>
      </x:c>
      <x:c r="AE116" s="134" t="n">
        <x:f>J116-(J116*'診断'!$C$24+'診断'!$C$25)-I116-AD116</x:f>
        <x:v>2033291.9407438412</x:v>
      </x:c>
      <x:c r="AF116" s="134" t="n">
        <x:f>Y116+AE116-MAX(0,'診断'!$C$7+'診断'!$C$8-'診断'!$C$9)</x:f>
        <x:v>-2580128.157074026</x:v>
      </x:c>
      <x:c r="AG116" s="406" t="str">
        <x:f>IF('診断'!$C$49&lt;DATE(YEAR('診断'!$C$49)+A116-1-5,1,1),"長期","短期")</x:f>
        <x:v>長期</x:v>
      </x:c>
    </x:row>
    <x:row r="117" ht="20" customHeight="1">
      <x:c r="A117" s="197" t="n">
        <x:v>10</x:v>
      </x:c>
      <x:c r="B117" s="242" t="n">
        <x:f>'診断'!$C$12*12*'診断'!$C$30*'診断'!$C$31*(1-'診断'!$C$19)^(A117-1)</x:f>
        <x:v>1416628.3551259034</x:v>
      </x:c>
      <x:c r="C117" s="242" t="n">
        <x:f>(('診断'!$C$13+'診断'!$C$14)*12+'診断'!$C$21+'診断'!$C$22+B117*'診断'!$C$15)*'診断'!$C$33+'診断'!$C$23*'診断'!$C$34</x:f>
        <x:v>520831.4177562952</x:v>
      </x:c>
      <x:c r="D117" s="242" t="n">
        <x:f>B117-C117</x:f>
        <x:v>895796.9373696082</x:v>
      </x:c>
      <x:c r="E117" s="242" t="n">
        <x:f>IF(A117&lt;='診断'!$C$11,-PMT('診断'!$C$32/12,'診断'!$C$11*12,'診断'!$C$9)*12,0)</x:f>
        <x:v>1387114.7359884677</x:v>
      </x:c>
      <x:c r="F117" s="242" t="n">
        <x:f>D117-E117</x:f>
        <x:v>-491317.7986188595</x:v>
      </x:c>
      <x:c r="G117" s="242" t="n">
        <x:f>G116+F117</x:f>
        <x:v>-4604737.896436727</x:v>
      </x:c>
      <x:c r="H117" s="242" t="n">
        <x:f>H116+MAX(0,-F117)</x:f>
        <x:v>4604737.896436727</x:v>
      </x:c>
      <x:c r="I117" s="242" t="n">
        <x:f>IF(A117&gt;='診断'!$C$11,0,MAX(0,-FV('診断'!$C$32/12,A117*12,PMT('診断'!$C$32/12,'診断'!$C$11*12,'診断'!$C$9),'診断'!$C$9)))</x:f>
        <x:v>27908504.015917584</x:v>
      </x:c>
      <x:c r="J117" s="242" t="n">
        <x:f>'診断'!$C$7*(1+'診断'!$C$35)^A117</x:f>
        <x:v>31653372.625308156</x:v>
      </x:c>
      <x:c r="K117" s="242" t="n">
        <x:f>J117*(1-'診断'!$C$24)-'診断'!$C$25-I117</x:f>
        <x:v>2600307.312755402</x:v>
      </x:c>
      <x:c r="L117" s="242" t="n">
        <x:f>MAX(E117-MAX(I116-I117,0),0)</x:f>
        <x:v>510919.4515660701</x:v>
      </x:c>
      <x:c r="M117" s="242" t="n">
        <x:f>IF(OR($AI$20&lt;&gt;"OK",A117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116-1,0)))</x:f>
        <x:v>0</x:v>
      </x:c>
      <x:c r="N117" s="242" t="n">
        <x:f>IF(OR($AI$20&lt;&gt;"OK",A117&gt;'診断'!$C$16),0,MIN('診断'!$C$50*(1-'診断'!$C$53)*ROUNDUP(1/MAX(2,ROUNDDOWN(IF('診断'!$C$52&gt;=15,15*20%,(15-'診断'!$C$52)+'診断'!$C$52*20%),0)),3)*(12)/12,MAX(AA116-1,0)))</x:f>
        <x:v>0</x:v>
      </x:c>
      <x:c r="O117" s="242" t="n">
        <x:f>M117+N117</x:f>
        <x:v>0</x:v>
      </x:c>
      <x:c r="P117" s="134" t="n">
        <x:f>B117-C117-L117-O117</x:f>
        <x:v>384877.4858035381</x:v>
      </x:c>
      <x:c r="Q117" s="134" t="n">
        <x:f>L117*IF('診断'!$C$9&gt;0,$AI$17/'診断'!$C$9,0)</x:f>
        <x:v>496727.2445781237</x:v>
      </x:c>
      <x:c r="R117" s="134" t="n">
        <x:f>IF(P117&gt;=0,P117,MIN(0,P117+Q117))</x:f>
        <x:v>384877.4858035381</x:v>
      </x:c>
      <x:c r="S117" s="134" t="n">
        <x:f>ROUNDDOWN(MAX(($AI$8+R117)-IF(($AI$8+R117)&lt;=4890000,1040000,IF(($AI$8+R117)&lt;=6550000,670000,IF(($AI$8+R117)&lt;=23500000,620000,IF(($AI$8+R117)&lt;=24000000,480000,IF(($AI$8+R117)&lt;=24500000,320000,IF(($AI$8+R117)&lt;=25000000,160000,0))))))-$AI$10,0),-3)</x:f>
        <x:v>6314000</x:v>
      </x:c>
      <x:c r="T117" s="134" t="n">
        <x:f>ROUNDDOWN(MAX(IF(S117&lt;=1949000,S117*5%,IF(S117&lt;=3299000,S117*10%-97500,IF(S117&lt;=6949000,S117*20%-427500,IF(S117&lt;=8999000,S117*23%-636000,IF(S117&lt;=17999000,S117*33%-1536000,IF(S117&lt;=39999000,S117*40%-2796000,S117*45%-4796000)))))),0),-2)+ROUNDDOWN(ROUNDDOWN(MAX(IF(S117&lt;=1949000,S117*5%,IF(S117&lt;=3299000,S117*10%-97500,IF(S117&lt;=6949000,S117*20%-427500,IF(S117&lt;=8999000,S117*23%-636000,IF(S117&lt;=17999000,S117*33%-1536000,IF(S117&lt;=39999000,S117*40%-2796000,S117*45%-4796000)))))),0),-2)*2.1%,0)</x:f>
        <x:v>852841</x:v>
      </x:c>
      <x:c r="U117" s="134" t="n">
        <x:f>ROUNDDOWN(MAX(($AI$8+R117)-IF(($AI$8+R117)&lt;=24000000,430000,IF(($AI$8+R117)&lt;=24500000,290000,IF(($AI$8+R117)&lt;=25000000,150000,0)))-$AI$10,0),-3)</x:f>
        <x:v>6504000</x:v>
      </x:c>
      <x:c r="V117" s="134" t="n">
        <x:f>ROUNDDOWN(U117*10%,0)+5000</x:f>
        <x:v>655400</x:v>
      </x:c>
      <x:c r="W117" s="134" t="n">
        <x:f>IF($AI$20="OK",$AI$16-(T117+V117),0)</x:f>
        <x:v>0</x:v>
      </x:c>
      <x:c r="X117" s="134" t="n">
        <x:f>F117+W117</x:f>
        <x:v>-491317.7986188595</x:v>
      </x:c>
      <x:c r="Y117" s="134" t="n">
        <x:f>Y116+X117</x:f>
        <x:v>-4604737.896436727</x:v>
      </x:c>
      <x:c r="Z117" s="134" t="n">
        <x:f>MAX(Z116-M117,0)</x:f>
        <x:v>0</x:v>
      </x:c>
      <x:c r="AA117" s="134" t="n">
        <x:f>MAX(AA116-N117,0)</x:f>
        <x:v>0</x:v>
      </x:c>
      <x:c r="AB117" s="134" t="n">
        <x:f>MAX('診断'!$C$7-'診断'!$C$50,0)+Z117+AA117+'診断'!$C$57</x:f>
        <x:v>35000000</x:v>
      </x:c>
      <x:c r="AC117" s="134" t="n">
        <x:f>MAX(J117-AB117-(J117*'診断'!$C$24+'診断'!$C$25)-'診断'!$C$58,0)</x:f>
        <x:v>0</x:v>
      </x:c>
      <x:c r="AD117" s="134" t="n">
        <x:f>IF($AI$20&lt;&gt;"OK",0,AC117*IF(AG117="長期",15%+5%+15%*2.1%,30%+9%+30%*2.1%))</x:f>
        <x:v>0</x:v>
      </x:c>
      <x:c r="AE117" s="134" t="n">
        <x:f>J117-(J117*'診断'!$C$24+'診断'!$C$25)-I117-AD117</x:f>
        <x:v>2600307.312755402</x:v>
      </x:c>
      <x:c r="AF117" s="134" t="n">
        <x:f>Y117+AE117-MAX(0,'診断'!$C$7+'診断'!$C$8-'診断'!$C$9)</x:f>
        <x:v>-2504430.5836813245</x:v>
      </x:c>
      <x:c r="AG117" s="406" t="str">
        <x:f>IF('診断'!$C$49&lt;DATE(YEAR('診断'!$C$49)+A117-1-5,1,1),"長期","短期")</x:f>
        <x:v>長期</x:v>
      </x:c>
    </x:row>
    <x:row r="118" ht="20" customHeight="1">
      <x:c r="A118" s="197" t="n">
        <x:v>11</x:v>
      </x:c>
      <x:c r="B118" s="242" t="n">
        <x:f>'診断'!$C$12*12*'診断'!$C$30*'診断'!$C$31*(1-'診断'!$C$19)^(A118-1)</x:f>
        <x:v>1409545.213350274</x:v>
      </x:c>
      <x:c r="C118" s="242" t="n">
        <x:f>(('診断'!$C$13+'診断'!$C$14)*12+'診断'!$C$21+'診断'!$C$22+B118*'診断'!$C$15)*'診断'!$C$33+'診断'!$C$23*'診断'!$C$34</x:f>
        <x:v>520477.2606675137</x:v>
      </x:c>
      <x:c r="D118" s="242" t="n">
        <x:f>B118-C118</x:f>
        <x:v>889067.9526827602</x:v>
      </x:c>
      <x:c r="E118" s="242" t="n">
        <x:f>IF(A118&lt;='診断'!$C$11,-PMT('診断'!$C$32/12,'診断'!$C$11*12,'診断'!$C$9)*12,0)</x:f>
        <x:v>1387114.7359884677</x:v>
      </x:c>
      <x:c r="F118" s="242" t="n">
        <x:f>D118-E118</x:f>
        <x:v>-498046.7833057075</x:v>
      </x:c>
      <x:c r="G118" s="242" t="n">
        <x:f>G117+F118</x:f>
        <x:v>-5102784.679742434</x:v>
      </x:c>
      <x:c r="H118" s="242" t="n">
        <x:f>H117+MAX(0,-F118)</x:f>
        <x:v>5102784.679742434</x:v>
      </x:c>
      <x:c r="I118" s="242" t="n">
        <x:f>IF(A118&gt;='診断'!$C$11,0,MAX(0,-FV('診断'!$C$32/12,A118*12,PMT('診断'!$C$32/12,'診断'!$C$11*12,'診断'!$C$9),'診断'!$C$9)))</x:f>
        <x:v>27016406.44859988</x:v>
      </x:c>
      <x:c r="J118" s="242" t="n">
        <x:f>'診断'!$C$7*(1+'診断'!$C$35)^A118</x:f>
        <x:v>31336838.899055075</x:v>
      </x:c>
      <x:c r="K118" s="242" t="n">
        <x:f>J118*(1-'診断'!$C$24)-'診断'!$C$25-I118</x:f>
        <x:v>3186316.766786378</x:v>
      </x:c>
      <x:c r="L118" s="242" t="n">
        <x:f>MAX(E118-MAX(I117-I118,0),0)</x:f>
        <x:v>495017.1686707621</x:v>
      </x:c>
      <x:c r="M118" s="242" t="n">
        <x:f>IF(OR($AI$20&lt;&gt;"OK",A118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117-1,0)))</x:f>
        <x:v>0</x:v>
      </x:c>
      <x:c r="N118" s="242" t="n">
        <x:f>IF(OR($AI$20&lt;&gt;"OK",A118&gt;'診断'!$C$16),0,MIN('診断'!$C$50*(1-'診断'!$C$53)*ROUNDUP(1/MAX(2,ROUNDDOWN(IF('診断'!$C$52&gt;=15,15*20%,(15-'診断'!$C$52)+'診断'!$C$52*20%),0)),3)*(12)/12,MAX(AA117-1,0)))</x:f>
        <x:v>0</x:v>
      </x:c>
      <x:c r="O118" s="242" t="n">
        <x:f>M118+N118</x:f>
        <x:v>0</x:v>
      </x:c>
      <x:c r="P118" s="134" t="n">
        <x:f>B118-C118-L118-O118</x:f>
        <x:v>394050.7840119981</x:v>
      </x:c>
      <x:c r="Q118" s="134" t="n">
        <x:f>L118*IF('診断'!$C$9&gt;0,$AI$17/'診断'!$C$9,0)</x:f>
        <x:v>481266.6917632409</x:v>
      </x:c>
      <x:c r="R118" s="134" t="n">
        <x:f>IF(P118&gt;=0,P118,MIN(0,P118+Q118))</x:f>
        <x:v>394050.7840119981</x:v>
      </x:c>
      <x:c r="S118" s="134" t="n">
        <x:f>ROUNDDOWN(MAX(($AI$8+R118)-IF(($AI$8+R118)&lt;=4890000,1040000,IF(($AI$8+R118)&lt;=6550000,670000,IF(($AI$8+R118)&lt;=23500000,620000,IF(($AI$8+R118)&lt;=24000000,480000,IF(($AI$8+R118)&lt;=24500000,320000,IF(($AI$8+R118)&lt;=25000000,160000,0))))))-$AI$10,0),-3)</x:f>
        <x:v>6324000</x:v>
      </x:c>
      <x:c r="T118" s="134" t="n">
        <x:f>ROUNDDOWN(MAX(IF(S118&lt;=1949000,S118*5%,IF(S118&lt;=3299000,S118*10%-97500,IF(S118&lt;=6949000,S118*20%-427500,IF(S118&lt;=8999000,S118*23%-636000,IF(S118&lt;=17999000,S118*33%-1536000,IF(S118&lt;=39999000,S118*40%-2796000,S118*45%-4796000)))))),0),-2)+ROUNDDOWN(ROUNDDOWN(MAX(IF(S118&lt;=1949000,S118*5%,IF(S118&lt;=3299000,S118*10%-97500,IF(S118&lt;=6949000,S118*20%-427500,IF(S118&lt;=8999000,S118*23%-636000,IF(S118&lt;=17999000,S118*33%-1536000,IF(S118&lt;=39999000,S118*40%-2796000,S118*45%-4796000)))))),0),-2)*2.1%,0)</x:f>
        <x:v>854883</x:v>
      </x:c>
      <x:c r="U118" s="134" t="n">
        <x:f>ROUNDDOWN(MAX(($AI$8+R118)-IF(($AI$8+R118)&lt;=24000000,430000,IF(($AI$8+R118)&lt;=24500000,290000,IF(($AI$8+R118)&lt;=25000000,150000,0)))-$AI$10,0),-3)</x:f>
        <x:v>6514000</x:v>
      </x:c>
      <x:c r="V118" s="134" t="n">
        <x:f>ROUNDDOWN(U118*10%,0)+5000</x:f>
        <x:v>656400</x:v>
      </x:c>
      <x:c r="W118" s="134" t="n">
        <x:f>IF($AI$20="OK",$AI$16-(T118+V118),0)</x:f>
        <x:v>0</x:v>
      </x:c>
      <x:c r="X118" s="134" t="n">
        <x:f>F118+W118</x:f>
        <x:v>-498046.7833057075</x:v>
      </x:c>
      <x:c r="Y118" s="134" t="n">
        <x:f>Y117+X118</x:f>
        <x:v>-5102784.679742434</x:v>
      </x:c>
      <x:c r="Z118" s="134" t="n">
        <x:f>MAX(Z117-M118,0)</x:f>
        <x:v>0</x:v>
      </x:c>
      <x:c r="AA118" s="134" t="n">
        <x:f>MAX(AA117-N118,0)</x:f>
        <x:v>0</x:v>
      </x:c>
      <x:c r="AB118" s="134" t="n">
        <x:f>MAX('診断'!$C$7-'診断'!$C$50,0)+Z118+AA118+'診断'!$C$57</x:f>
        <x:v>35000000</x:v>
      </x:c>
      <x:c r="AC118" s="134" t="n">
        <x:f>MAX(J118-AB118-(J118*'診断'!$C$24+'診断'!$C$25)-'診断'!$C$58,0)</x:f>
        <x:v>0</x:v>
      </x:c>
      <x:c r="AD118" s="134" t="n">
        <x:f>IF($AI$20&lt;&gt;"OK",0,AC118*IF(AG118="長期",15%+5%+15%*2.1%,30%+9%+30%*2.1%))</x:f>
        <x:v>0</x:v>
      </x:c>
      <x:c r="AE118" s="134" t="n">
        <x:f>J118-(J118*'診断'!$C$24+'診断'!$C$25)-I118-AD118</x:f>
        <x:v>3186316.766786378</x:v>
      </x:c>
      <x:c r="AF118" s="134" t="n">
        <x:f>Y118+AE118-MAX(0,'診断'!$C$7+'診断'!$C$8-'診断'!$C$9)</x:f>
        <x:v>-2416467.912956056</x:v>
      </x:c>
      <x:c r="AG118" s="406" t="str">
        <x:f>IF('診断'!$C$49&lt;DATE(YEAR('診断'!$C$49)+A118-1-5,1,1),"長期","短期")</x:f>
        <x:v>長期</x:v>
      </x:c>
    </x:row>
    <x:row r="119" ht="20" customHeight="1">
      <x:c r="A119" s="197" t="n">
        <x:v>12</x:v>
      </x:c>
      <x:c r="B119" s="242" t="n">
        <x:f>'診断'!$C$12*12*'診断'!$C$30*'診断'!$C$31*(1-'診断'!$C$19)^(A119-1)</x:f>
        <x:v>1402497.4872835225</x:v>
      </x:c>
      <x:c r="C119" s="242" t="n">
        <x:f>(('診断'!$C$13+'診断'!$C$14)*12+'診断'!$C$21+'診断'!$C$22+B119*'診断'!$C$15)*'診断'!$C$33+'診断'!$C$23*'診断'!$C$34</x:f>
        <x:v>520124.8743641761</x:v>
      </x:c>
      <x:c r="D119" s="242" t="n">
        <x:f>B119-C119</x:f>
        <x:v>882372.6129193464</x:v>
      </x:c>
      <x:c r="E119" s="242" t="n">
        <x:f>IF(A119&lt;='診断'!$C$11,-PMT('診断'!$C$32/12,'診断'!$C$11*12,'診断'!$C$9)*12,0)</x:f>
        <x:v>1387114.7359884677</x:v>
      </x:c>
      <x:c r="F119" s="242" t="n">
        <x:f>D119-E119</x:f>
        <x:v>-504742.12306912127</x:v>
      </x:c>
      <x:c r="G119" s="242" t="n">
        <x:f>G118+F119</x:f>
        <x:v>-5607526.802811556</x:v>
      </x:c>
      <x:c r="H119" s="242" t="n">
        <x:f>H118+MAX(0,-F119)</x:f>
        <x:v>5607526.802811556</x:v>
      </x:c>
      <x:c r="I119" s="242" t="n">
        <x:f>IF(A119&gt;='診断'!$C$11,0,MAX(0,-FV('診断'!$C$32/12,A119*12,PMT('診断'!$C$32/12,'診断'!$C$11*12,'診断'!$C$9),'診断'!$C$9)))</x:f>
        <x:v>26108117.98395835</x:v>
      </x:c>
      <x:c r="J119" s="242" t="n">
        <x:f>'診断'!$C$7*(1+'診断'!$C$35)^A119</x:f>
        <x:v>31023470.510064524</x:v>
      </x:c>
      <x:c r="K119" s="242" t="n">
        <x:f>J119*(1-'診断'!$C$24)-'診断'!$C$25-I119</x:f>
        <x:v>3791577.999274045</x:v>
      </x:c>
      <x:c r="L119" s="242" t="n">
        <x:f>MAX(E119-MAX(I118-I119,0),0)</x:f>
        <x:v>478826.27134693763</x:v>
      </x:c>
      <x:c r="M119" s="242" t="n">
        <x:f>IF(OR($AI$20&lt;&gt;"OK",A119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118-1,0)))</x:f>
        <x:v>0</x:v>
      </x:c>
      <x:c r="N119" s="242" t="n">
        <x:f>IF(OR($AI$20&lt;&gt;"OK",A119&gt;'診断'!$C$16),0,MIN('診断'!$C$50*(1-'診断'!$C$53)*ROUNDUP(1/MAX(2,ROUNDDOWN(IF('診断'!$C$52&gt;=15,15*20%,(15-'診断'!$C$52)+'診断'!$C$52*20%),0)),3)*(12)/12,MAX(AA118-1,0)))</x:f>
        <x:v>0</x:v>
      </x:c>
      <x:c r="O119" s="242" t="n">
        <x:f>M119+N119</x:f>
        <x:v>0</x:v>
      </x:c>
      <x:c r="P119" s="134" t="n">
        <x:f>B119-C119-L119-O119</x:f>
        <x:v>403546.3415724088</x:v>
      </x:c>
      <x:c r="Q119" s="134" t="n">
        <x:f>L119*IF('診断'!$C$9&gt;0,$AI$17/'診断'!$C$9,0)</x:f>
        <x:v>465525.5415873005</x:v>
      </x:c>
      <x:c r="R119" s="134" t="n">
        <x:f>IF(P119&gt;=0,P119,MIN(0,P119+Q119))</x:f>
        <x:v>403546.3415724088</x:v>
      </x:c>
      <x:c r="S119" s="134" t="n">
        <x:f>ROUNDDOWN(MAX(($AI$8+R119)-IF(($AI$8+R119)&lt;=4890000,1040000,IF(($AI$8+R119)&lt;=6550000,670000,IF(($AI$8+R119)&lt;=23500000,620000,IF(($AI$8+R119)&lt;=24000000,480000,IF(($AI$8+R119)&lt;=24500000,320000,IF(($AI$8+R119)&lt;=25000000,160000,0))))))-$AI$10,0),-3)</x:f>
        <x:v>6333000</x:v>
      </x:c>
      <x:c r="T119" s="134" t="n">
        <x:f>ROUNDDOWN(MAX(IF(S119&lt;=1949000,S119*5%,IF(S119&lt;=3299000,S119*10%-97500,IF(S119&lt;=6949000,S119*20%-427500,IF(S119&lt;=8999000,S119*23%-636000,IF(S119&lt;=17999000,S119*33%-1536000,IF(S119&lt;=39999000,S119*40%-2796000,S119*45%-4796000)))))),0),-2)+ROUNDDOWN(ROUNDDOWN(MAX(IF(S119&lt;=1949000,S119*5%,IF(S119&lt;=3299000,S119*10%-97500,IF(S119&lt;=6949000,S119*20%-427500,IF(S119&lt;=8999000,S119*23%-636000,IF(S119&lt;=17999000,S119*33%-1536000,IF(S119&lt;=39999000,S119*40%-2796000,S119*45%-4796000)))))),0),-2)*2.1%,0)</x:f>
        <x:v>856721</x:v>
      </x:c>
      <x:c r="U119" s="134" t="n">
        <x:f>ROUNDDOWN(MAX(($AI$8+R119)-IF(($AI$8+R119)&lt;=24000000,430000,IF(($AI$8+R119)&lt;=24500000,290000,IF(($AI$8+R119)&lt;=25000000,150000,0)))-$AI$10,0),-3)</x:f>
        <x:v>6523000</x:v>
      </x:c>
      <x:c r="V119" s="134" t="n">
        <x:f>ROUNDDOWN(U119*10%,0)+5000</x:f>
        <x:v>657300</x:v>
      </x:c>
      <x:c r="W119" s="134" t="n">
        <x:f>IF($AI$20="OK",$AI$16-(T119+V119),0)</x:f>
        <x:v>0</x:v>
      </x:c>
      <x:c r="X119" s="134" t="n">
        <x:f>F119+W119</x:f>
        <x:v>-504742.12306912127</x:v>
      </x:c>
      <x:c r="Y119" s="134" t="n">
        <x:f>Y118+X119</x:f>
        <x:v>-5607526.802811556</x:v>
      </x:c>
      <x:c r="Z119" s="134" t="n">
        <x:f>MAX(Z118-M119,0)</x:f>
        <x:v>0</x:v>
      </x:c>
      <x:c r="AA119" s="134" t="n">
        <x:f>MAX(AA118-N119,0)</x:f>
        <x:v>0</x:v>
      </x:c>
      <x:c r="AB119" s="134" t="n">
        <x:f>MAX('診断'!$C$7-'診断'!$C$50,0)+Z119+AA119+'診断'!$C$57</x:f>
        <x:v>35000000</x:v>
      </x:c>
      <x:c r="AC119" s="134" t="n">
        <x:f>MAX(J119-AB119-(J119*'診断'!$C$24+'診断'!$C$25)-'診断'!$C$58,0)</x:f>
        <x:v>0</x:v>
      </x:c>
      <x:c r="AD119" s="134" t="n">
        <x:f>IF($AI$20&lt;&gt;"OK",0,AC119*IF(AG119="長期",15%+5%+15%*2.1%,30%+9%+30%*2.1%))</x:f>
        <x:v>0</x:v>
      </x:c>
      <x:c r="AE119" s="134" t="n">
        <x:f>J119-(J119*'診断'!$C$24+'診断'!$C$25)-I119-AD119</x:f>
        <x:v>3791577.999274045</x:v>
      </x:c>
      <x:c r="AF119" s="134" t="n">
        <x:f>Y119+AE119-MAX(0,'診断'!$C$7+'診断'!$C$8-'診断'!$C$9)</x:f>
        <x:v>-2315948.8035375103</x:v>
      </x:c>
      <x:c r="AG119" s="406" t="str">
        <x:f>IF('診断'!$C$49&lt;DATE(YEAR('診断'!$C$49)+A119-1-5,1,1),"長期","短期")</x:f>
        <x:v>長期</x:v>
      </x:c>
    </x:row>
    <x:row r="120" ht="20" customHeight="1">
      <x:c r="A120" s="197" t="n">
        <x:v>13</x:v>
      </x:c>
      <x:c r="B120" s="242" t="n">
        <x:f>'診断'!$C$12*12*'診断'!$C$30*'診断'!$C$31*(1-'診断'!$C$19)^(A120-1)</x:f>
        <x:v>1395484.9998471048</x:v>
      </x:c>
      <x:c r="C120" s="242" t="n">
        <x:f>(('診断'!$C$13+'診断'!$C$14)*12+'診断'!$C$21+'診断'!$C$22+B120*'診断'!$C$15)*'診断'!$C$33+'診断'!$C$23*'診断'!$C$34</x:f>
        <x:v>519774.24999235524</x:v>
      </x:c>
      <x:c r="D120" s="242" t="n">
        <x:f>B120-C120</x:f>
        <x:v>875710.7498547495</x:v>
      </x:c>
      <x:c r="E120" s="242" t="n">
        <x:f>IF(A120&lt;='診断'!$C$11,-PMT('診断'!$C$32/12,'診断'!$C$11*12,'診断'!$C$9)*12,0)</x:f>
        <x:v>1387114.7359884677</x:v>
      </x:c>
      <x:c r="F120" s="242" t="n">
        <x:f>D120-E120</x:f>
        <x:v>-511403.98613371816</x:v>
      </x:c>
      <x:c r="G120" s="242" t="n">
        <x:f>G119+F120</x:f>
        <x:v>-6118930.7889452735</x:v>
      </x:c>
      <x:c r="H120" s="242" t="n">
        <x:f>H119+MAX(0,-F120)</x:f>
        <x:v>6118930.7889452735</x:v>
      </x:c>
      <x:c r="I120" s="242" t="n">
        <x:f>IF(A120&gt;='診断'!$C$11,0,MAX(0,-FV('診断'!$C$32/12,A120*12,PMT('診断'!$C$32/12,'診断'!$C$11*12,'診断'!$C$9),'診断'!$C$9)))</x:f>
        <x:v>25183344.769430496</x:v>
      </x:c>
      <x:c r="J120" s="242" t="n">
        <x:f>'診断'!$C$7*(1+'診断'!$C$35)^A120</x:f>
        <x:v>30713235.804963876</x:v>
      </x:c>
      <x:c r="K120" s="242" t="n">
        <x:f>J120*(1-'診断'!$C$24)-'診断'!$C$25-I120</x:f>
        <x:v>4416354.2539695725</x:v>
      </x:c>
      <x:c r="L120" s="242" t="n">
        <x:f>MAX(E120-MAX(I119-I120,0),0)</x:f>
        <x:v>462341.52146061487</x:v>
      </x:c>
      <x:c r="M120" s="242" t="n">
        <x:f>IF(OR($AI$20&lt;&gt;"OK",A120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119-1,0)))</x:f>
        <x:v>0</x:v>
      </x:c>
      <x:c r="N120" s="242" t="n">
        <x:f>IF(OR($AI$20&lt;&gt;"OK",A120&gt;'診断'!$C$16),0,MIN('診断'!$C$50*(1-'診断'!$C$53)*ROUNDUP(1/MAX(2,ROUNDDOWN(IF('診断'!$C$52&gt;=15,15*20%,(15-'診断'!$C$52)+'診断'!$C$52*20%),0)),3)*(12)/12,MAX(AA119-1,0)))</x:f>
        <x:v>0</x:v>
      </x:c>
      <x:c r="O120" s="242" t="n">
        <x:f>M120+N120</x:f>
        <x:v>0</x:v>
      </x:c>
      <x:c r="P120" s="134" t="n">
        <x:f>B120-C120-L120-O120</x:f>
        <x:v>413369.22839413467</x:v>
      </x:c>
      <x:c r="Q120" s="134" t="n">
        <x:f>L120*IF('診断'!$C$9&gt;0,$AI$17/'診断'!$C$9,0)</x:f>
        <x:v>449498.7014200422</x:v>
      </x:c>
      <x:c r="R120" s="134" t="n">
        <x:f>IF(P120&gt;=0,P120,MIN(0,P120+Q120))</x:f>
        <x:v>413369.22839413467</x:v>
      </x:c>
      <x:c r="S120" s="134" t="n">
        <x:f>ROUNDDOWN(MAX(($AI$8+R120)-IF(($AI$8+R120)&lt;=4890000,1040000,IF(($AI$8+R120)&lt;=6550000,670000,IF(($AI$8+R120)&lt;=23500000,620000,IF(($AI$8+R120)&lt;=24000000,480000,IF(($AI$8+R120)&lt;=24500000,320000,IF(($AI$8+R120)&lt;=25000000,160000,0))))))-$AI$10,0),-3)</x:f>
        <x:v>6343000</x:v>
      </x:c>
      <x:c r="T120" s="134" t="n">
        <x:f>ROUNDDOWN(MAX(IF(S120&lt;=1949000,S120*5%,IF(S120&lt;=3299000,S120*10%-97500,IF(S120&lt;=6949000,S120*20%-427500,IF(S120&lt;=8999000,S120*23%-636000,IF(S120&lt;=17999000,S120*33%-1536000,IF(S120&lt;=39999000,S120*40%-2796000,S120*45%-4796000)))))),0),-2)+ROUNDDOWN(ROUNDDOWN(MAX(IF(S120&lt;=1949000,S120*5%,IF(S120&lt;=3299000,S120*10%-97500,IF(S120&lt;=6949000,S120*20%-427500,IF(S120&lt;=8999000,S120*23%-636000,IF(S120&lt;=17999000,S120*33%-1536000,IF(S120&lt;=39999000,S120*40%-2796000,S120*45%-4796000)))))),0),-2)*2.1%,0)</x:f>
        <x:v>858763</x:v>
      </x:c>
      <x:c r="U120" s="134" t="n">
        <x:f>ROUNDDOWN(MAX(($AI$8+R120)-IF(($AI$8+R120)&lt;=24000000,430000,IF(($AI$8+R120)&lt;=24500000,290000,IF(($AI$8+R120)&lt;=25000000,150000,0)))-$AI$10,0),-3)</x:f>
        <x:v>6533000</x:v>
      </x:c>
      <x:c r="V120" s="134" t="n">
        <x:f>ROUNDDOWN(U120*10%,0)+5000</x:f>
        <x:v>658300</x:v>
      </x:c>
      <x:c r="W120" s="134" t="n">
        <x:f>IF($AI$20="OK",$AI$16-(T120+V120),0)</x:f>
        <x:v>0</x:v>
      </x:c>
      <x:c r="X120" s="134" t="n">
        <x:f>F120+W120</x:f>
        <x:v>-511403.98613371816</x:v>
      </x:c>
      <x:c r="Y120" s="134" t="n">
        <x:f>Y119+X120</x:f>
        <x:v>-6118930.7889452735</x:v>
      </x:c>
      <x:c r="Z120" s="134" t="n">
        <x:f>MAX(Z119-M120,0)</x:f>
        <x:v>0</x:v>
      </x:c>
      <x:c r="AA120" s="134" t="n">
        <x:f>MAX(AA119-N120,0)</x:f>
        <x:v>0</x:v>
      </x:c>
      <x:c r="AB120" s="134" t="n">
        <x:f>MAX('診断'!$C$7-'診断'!$C$50,0)+Z120+AA120+'診断'!$C$57</x:f>
        <x:v>35000000</x:v>
      </x:c>
      <x:c r="AC120" s="134" t="n">
        <x:f>MAX(J120-AB120-(J120*'診断'!$C$24+'診断'!$C$25)-'診断'!$C$58,0)</x:f>
        <x:v>0</x:v>
      </x:c>
      <x:c r="AD120" s="134" t="n">
        <x:f>IF($AI$20&lt;&gt;"OK",0,AC120*IF(AG120="長期",15%+5%+15%*2.1%,30%+9%+30%*2.1%))</x:f>
        <x:v>0</x:v>
      </x:c>
      <x:c r="AE120" s="134" t="n">
        <x:f>J120-(J120*'診断'!$C$24+'診断'!$C$25)-I120-AD120</x:f>
        <x:v>4416354.2539695725</x:v>
      </x:c>
      <x:c r="AF120" s="134" t="n">
        <x:f>Y120+AE120-MAX(0,'診断'!$C$7+'診断'!$C$8-'診断'!$C$9)</x:f>
        <x:v>-2202576.534975701</x:v>
      </x:c>
      <x:c r="AG120" s="406" t="str">
        <x:f>IF('診断'!$C$49&lt;DATE(YEAR('診断'!$C$49)+A120-1-5,1,1),"長期","短期")</x:f>
        <x:v>長期</x:v>
      </x:c>
    </x:row>
    <x:row r="121" ht="20" customHeight="1">
      <x:c r="A121" s="197" t="n">
        <x:v>14</x:v>
      </x:c>
      <x:c r="B121" s="242" t="n">
        <x:f>'診断'!$C$12*12*'診断'!$C$30*'診断'!$C$31*(1-'診断'!$C$19)^(A121-1)</x:f>
        <x:v>1388507.5748478693</x:v>
      </x:c>
      <x:c r="C121" s="242" t="n">
        <x:f>(('診断'!$C$13+'診断'!$C$14)*12+'診断'!$C$21+'診断'!$C$22+B121*'診断'!$C$15)*'診断'!$C$33+'診断'!$C$23*'診断'!$C$34</x:f>
        <x:v>519425.37874239346</x:v>
      </x:c>
      <x:c r="D121" s="242" t="n">
        <x:f>B121-C121</x:f>
        <x:v>869082.1961054759</x:v>
      </x:c>
      <x:c r="E121" s="242" t="n">
        <x:f>IF(A121&lt;='診断'!$C$11,-PMT('診断'!$C$32/12,'診断'!$C$11*12,'診断'!$C$9)*12,0)</x:f>
        <x:v>1387114.7359884677</x:v>
      </x:c>
      <x:c r="F121" s="242" t="n">
        <x:f>D121-E121</x:f>
        <x:v>-518032.5398829918</x:v>
      </x:c>
      <x:c r="G121" s="242" t="n">
        <x:f>G120+F121</x:f>
        <x:v>-6636963.328828265</x:v>
      </x:c>
      <x:c r="H121" s="242" t="n">
        <x:f>H120+MAX(0,-F121)</x:f>
        <x:v>6636963.328828265</x:v>
      </x:c>
      <x:c r="I121" s="242" t="n">
        <x:f>IF(A121&gt;='診断'!$C$11,0,MAX(0,-FV('診断'!$C$32/12,A121*12,PMT('診断'!$C$32/12,'診断'!$C$11*12,'診断'!$C$9),'診断'!$C$9)))</x:f>
        <x:v>24241787.619251676</x:v>
      </x:c>
      <x:c r="J121" s="242" t="n">
        <x:f>'診断'!$C$7*(1+'診断'!$C$35)^A121</x:f>
        <x:v>30406103.446914237</x:v>
      </x:c>
      <x:c r="K121" s="242" t="n">
        <x:f>J121*(1-'診断'!$C$24)-'診断'!$C$25-I121</x:f>
        <x:v>5060914.41391439</x:v>
      </x:c>
      <x:c r="L121" s="242" t="n">
        <x:f>MAX(E121-MAX(I120-I121,0),0)</x:f>
        <x:v>445557.5858096478</x:v>
      </x:c>
      <x:c r="M121" s="242" t="n">
        <x:f>IF(OR($AI$20&lt;&gt;"OK",A121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120-1,0)))</x:f>
        <x:v>0</x:v>
      </x:c>
      <x:c r="N121" s="242" t="n">
        <x:f>IF(OR($AI$20&lt;&gt;"OK",A121&gt;'診断'!$C$16),0,MIN('診断'!$C$50*(1-'診断'!$C$53)*ROUNDUP(1/MAX(2,ROUNDDOWN(IF('診断'!$C$52&gt;=15,15*20%,(15-'診断'!$C$52)+'診断'!$C$52*20%),0)),3)*(12)/12,MAX(AA120-1,0)))</x:f>
        <x:v>0</x:v>
      </x:c>
      <x:c r="O121" s="242" t="n">
        <x:f>M121+N121</x:f>
        <x:v>0</x:v>
      </x:c>
      <x:c r="P121" s="134" t="n">
        <x:f>B121-C121-L121-O121</x:f>
        <x:v>423524.6102958281</x:v>
      </x:c>
      <x:c r="Q121" s="134" t="n">
        <x:f>L121*IF('診断'!$C$9&gt;0,$AI$17/'診断'!$C$9,0)</x:f>
        <x:v>433180.9862038242</x:v>
      </x:c>
      <x:c r="R121" s="134" t="n">
        <x:f>IF(P121&gt;=0,P121,MIN(0,P121+Q121))</x:f>
        <x:v>423524.6102958281</x:v>
      </x:c>
      <x:c r="S121" s="134" t="n">
        <x:f>ROUNDDOWN(MAX(($AI$8+R121)-IF(($AI$8+R121)&lt;=4890000,1040000,IF(($AI$8+R121)&lt;=6550000,670000,IF(($AI$8+R121)&lt;=23500000,620000,IF(($AI$8+R121)&lt;=24000000,480000,IF(($AI$8+R121)&lt;=24500000,320000,IF(($AI$8+R121)&lt;=25000000,160000,0))))))-$AI$10,0),-3)</x:f>
        <x:v>6353000</x:v>
      </x:c>
      <x:c r="T121" s="134" t="n">
        <x:f>ROUNDDOWN(MAX(IF(S121&lt;=1949000,S121*5%,IF(S121&lt;=3299000,S121*10%-97500,IF(S121&lt;=6949000,S121*20%-427500,IF(S121&lt;=8999000,S121*23%-636000,IF(S121&lt;=17999000,S121*33%-1536000,IF(S121&lt;=39999000,S121*40%-2796000,S121*45%-4796000)))))),0),-2)+ROUNDDOWN(ROUNDDOWN(MAX(IF(S121&lt;=1949000,S121*5%,IF(S121&lt;=3299000,S121*10%-97500,IF(S121&lt;=6949000,S121*20%-427500,IF(S121&lt;=8999000,S121*23%-636000,IF(S121&lt;=17999000,S121*33%-1536000,IF(S121&lt;=39999000,S121*40%-2796000,S121*45%-4796000)))))),0),-2)*2.1%,0)</x:f>
        <x:v>860805</x:v>
      </x:c>
      <x:c r="U121" s="134" t="n">
        <x:f>ROUNDDOWN(MAX(($AI$8+R121)-IF(($AI$8+R121)&lt;=24000000,430000,IF(($AI$8+R121)&lt;=24500000,290000,IF(($AI$8+R121)&lt;=25000000,150000,0)))-$AI$10,0),-3)</x:f>
        <x:v>6543000</x:v>
      </x:c>
      <x:c r="V121" s="134" t="n">
        <x:f>ROUNDDOWN(U121*10%,0)+5000</x:f>
        <x:v>659300</x:v>
      </x:c>
      <x:c r="W121" s="134" t="n">
        <x:f>IF($AI$20="OK",$AI$16-(T121+V121),0)</x:f>
        <x:v>0</x:v>
      </x:c>
      <x:c r="X121" s="134" t="n">
        <x:f>F121+W121</x:f>
        <x:v>-518032.5398829918</x:v>
      </x:c>
      <x:c r="Y121" s="134" t="n">
        <x:f>Y120+X121</x:f>
        <x:v>-6636963.328828265</x:v>
      </x:c>
      <x:c r="Z121" s="134" t="n">
        <x:f>MAX(Z120-M121,0)</x:f>
        <x:v>0</x:v>
      </x:c>
      <x:c r="AA121" s="134" t="n">
        <x:f>MAX(AA120-N121,0)</x:f>
        <x:v>0</x:v>
      </x:c>
      <x:c r="AB121" s="134" t="n">
        <x:f>MAX('診断'!$C$7-'診断'!$C$50,0)+Z121+AA121+'診断'!$C$57</x:f>
        <x:v>35000000</x:v>
      </x:c>
      <x:c r="AC121" s="134" t="n">
        <x:f>MAX(J121-AB121-(J121*'診断'!$C$24+'診断'!$C$25)-'診断'!$C$58,0)</x:f>
        <x:v>0</x:v>
      </x:c>
      <x:c r="AD121" s="134" t="n">
        <x:f>IF($AI$20&lt;&gt;"OK",0,AC121*IF(AG121="長期",15%+5%+15%*2.1%,30%+9%+30%*2.1%))</x:f>
        <x:v>0</x:v>
      </x:c>
      <x:c r="AE121" s="134" t="n">
        <x:f>J121-(J121*'診断'!$C$24+'診断'!$C$25)-I121-AD121</x:f>
        <x:v>5060914.41391439</x:v>
      </x:c>
      <x:c r="AF121" s="134" t="n">
        <x:f>Y121+AE121-MAX(0,'診断'!$C$7+'診断'!$C$8-'診断'!$C$9)</x:f>
        <x:v>-2076048.914913875</x:v>
      </x:c>
      <x:c r="AG121" s="406" t="str">
        <x:f>IF('診断'!$C$49&lt;DATE(YEAR('診断'!$C$49)+A121-1-5,1,1),"長期","短期")</x:f>
        <x:v>長期</x:v>
      </x:c>
    </x:row>
    <x:row r="122" ht="20" customHeight="1">
      <x:c r="A122" s="197" t="n">
        <x:v>15</x:v>
      </x:c>
      <x:c r="B122" s="242" t="n">
        <x:f>'診断'!$C$12*12*'診断'!$C$30*'診断'!$C$31*(1-'診断'!$C$19)^(A122-1)</x:f>
        <x:v>1381565.03697363</x:v>
      </x:c>
      <x:c r="C122" s="242" t="n">
        <x:f>(('診断'!$C$13+'診断'!$C$14)*12+'診断'!$C$21+'診断'!$C$22+B122*'診断'!$C$15)*'診断'!$C$33+'診断'!$C$23*'診断'!$C$34</x:f>
        <x:v>519078.2518486815</x:v>
      </x:c>
      <x:c r="D122" s="242" t="n">
        <x:f>B122-C122</x:f>
        <x:v>862486.7851249486</x:v>
      </x:c>
      <x:c r="E122" s="242" t="n">
        <x:f>IF(A122&lt;='診断'!$C$11,-PMT('診断'!$C$32/12,'診断'!$C$11*12,'診断'!$C$9)*12,0)</x:f>
        <x:v>1387114.7359884677</x:v>
      </x:c>
      <x:c r="F122" s="242" t="n">
        <x:f>D122-E122</x:f>
        <x:v>-524627.9508635191</x:v>
      </x:c>
      <x:c r="G122" s="242" t="n">
        <x:f>G121+F122</x:f>
        <x:v>-7161591.279691784</x:v>
      </x:c>
      <x:c r="H122" s="242" t="n">
        <x:f>H121+MAX(0,-F122)</x:f>
        <x:v>7161591.279691784</x:v>
      </x:c>
      <x:c r="I122" s="242" t="n">
        <x:f>IF(A122&gt;='診断'!$C$11,0,MAX(0,-FV('診断'!$C$32/12,A122*12,PMT('診断'!$C$32/12,'診断'!$C$11*12,'診断'!$C$9),'診断'!$C$9)))</x:f>
        <x:v>23283141.91766151</x:v>
      </x:c>
      <x:c r="J122" s="242" t="n">
        <x:f>'診断'!$C$7*(1+'診断'!$C$35)^A122</x:f>
        <x:v>30102042.412445094</x:v>
      </x:c>
      <x:c r="K122" s="242" t="n">
        <x:f>J122*(1-'診断'!$C$24)-'診断'!$C$25-I122</x:f>
        <x:v>5725533.095172893</x:v>
      </x:c>
      <x:c r="L122" s="242" t="n">
        <x:f>MAX(E122-MAX(I121-I122,0),0)</x:f>
        <x:v>428469.0343983022</x:v>
      </x:c>
      <x:c r="M122" s="242" t="n">
        <x:f>IF(OR($AI$20&lt;&gt;"OK",A122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121-1,0)))</x:f>
        <x:v>0</x:v>
      </x:c>
      <x:c r="N122" s="242" t="n">
        <x:f>IF(OR($AI$20&lt;&gt;"OK",A122&gt;'診断'!$C$16),0,MIN('診断'!$C$50*(1-'診断'!$C$53)*ROUNDUP(1/MAX(2,ROUNDDOWN(IF('診断'!$C$52&gt;=15,15*20%,(15-'診断'!$C$52)+'診断'!$C$52*20%),0)),3)*(12)/12,MAX(AA121-1,0)))</x:f>
        <x:v>0</x:v>
      </x:c>
      <x:c r="O122" s="242" t="n">
        <x:f>M122+N122</x:f>
        <x:v>0</x:v>
      </x:c>
      <x:c r="P122" s="134" t="n">
        <x:f>B122-C122-L122-O122</x:f>
        <x:v>434017.7507266464</x:v>
      </x:c>
      <x:c r="Q122" s="134" t="n">
        <x:f>L122*IF('診断'!$C$9&gt;0,$AI$17/'診断'!$C$9,0)</x:f>
        <x:v>416567.11677612714</x:v>
      </x:c>
      <x:c r="R122" s="134" t="n">
        <x:f>IF(P122&gt;=0,P122,MIN(0,P122+Q122))</x:f>
        <x:v>434017.7507266464</x:v>
      </x:c>
      <x:c r="S122" s="134" t="n">
        <x:f>ROUNDDOWN(MAX(($AI$8+R122)-IF(($AI$8+R122)&lt;=4890000,1040000,IF(($AI$8+R122)&lt;=6550000,670000,IF(($AI$8+R122)&lt;=23500000,620000,IF(($AI$8+R122)&lt;=24000000,480000,IF(($AI$8+R122)&lt;=24500000,320000,IF(($AI$8+R122)&lt;=25000000,160000,0))))))-$AI$10,0),-3)</x:f>
        <x:v>6364000</x:v>
      </x:c>
      <x:c r="T122" s="134" t="n">
        <x:f>ROUNDDOWN(MAX(IF(S122&lt;=1949000,S122*5%,IF(S122&lt;=3299000,S122*10%-97500,IF(S122&lt;=6949000,S122*20%-427500,IF(S122&lt;=8999000,S122*23%-636000,IF(S122&lt;=17999000,S122*33%-1536000,IF(S122&lt;=39999000,S122*40%-2796000,S122*45%-4796000)))))),0),-2)+ROUNDDOWN(ROUNDDOWN(MAX(IF(S122&lt;=1949000,S122*5%,IF(S122&lt;=3299000,S122*10%-97500,IF(S122&lt;=6949000,S122*20%-427500,IF(S122&lt;=8999000,S122*23%-636000,IF(S122&lt;=17999000,S122*33%-1536000,IF(S122&lt;=39999000,S122*40%-2796000,S122*45%-4796000)))))),0),-2)*2.1%,0)</x:f>
        <x:v>863051</x:v>
      </x:c>
      <x:c r="U122" s="134" t="n">
        <x:f>ROUNDDOWN(MAX(($AI$8+R122)-IF(($AI$8+R122)&lt;=24000000,430000,IF(($AI$8+R122)&lt;=24500000,290000,IF(($AI$8+R122)&lt;=25000000,150000,0)))-$AI$10,0),-3)</x:f>
        <x:v>6554000</x:v>
      </x:c>
      <x:c r="V122" s="134" t="n">
        <x:f>ROUNDDOWN(U122*10%,0)+5000</x:f>
        <x:v>660400</x:v>
      </x:c>
      <x:c r="W122" s="134" t="n">
        <x:f>IF($AI$20="OK",$AI$16-(T122+V122),0)</x:f>
        <x:v>0</x:v>
      </x:c>
      <x:c r="X122" s="134" t="n">
        <x:f>F122+W122</x:f>
        <x:v>-524627.9508635191</x:v>
      </x:c>
      <x:c r="Y122" s="134" t="n">
        <x:f>Y121+X122</x:f>
        <x:v>-7161591.279691784</x:v>
      </x:c>
      <x:c r="Z122" s="134" t="n">
        <x:f>MAX(Z121-M122,0)</x:f>
        <x:v>0</x:v>
      </x:c>
      <x:c r="AA122" s="134" t="n">
        <x:f>MAX(AA121-N122,0)</x:f>
        <x:v>0</x:v>
      </x:c>
      <x:c r="AB122" s="134" t="n">
        <x:f>MAX('診断'!$C$7-'診断'!$C$50,0)+Z122+AA122+'診断'!$C$57</x:f>
        <x:v>35000000</x:v>
      </x:c>
      <x:c r="AC122" s="134" t="n">
        <x:f>MAX(J122-AB122-(J122*'診断'!$C$24+'診断'!$C$25)-'診断'!$C$58,0)</x:f>
        <x:v>0</x:v>
      </x:c>
      <x:c r="AD122" s="134" t="n">
        <x:f>IF($AI$20&lt;&gt;"OK",0,AC122*IF(AG122="長期",15%+5%+15%*2.1%,30%+9%+30%*2.1%))</x:f>
        <x:v>0</x:v>
      </x:c>
      <x:c r="AE122" s="134" t="n">
        <x:f>J122-(J122*'診断'!$C$24+'診断'!$C$25)-I122-AD122</x:f>
        <x:v>5725533.095172897</x:v>
      </x:c>
      <x:c r="AF122" s="134" t="n">
        <x:f>Y122+AE122-MAX(0,'診断'!$C$7+'診断'!$C$8-'診断'!$C$9)</x:f>
        <x:v>-1936058.1845188867</x:v>
      </x:c>
      <x:c r="AG122" s="406" t="str">
        <x:f>IF('診断'!$C$49&lt;DATE(YEAR('診断'!$C$49)+A122-1-5,1,1),"長期","短期")</x:f>
        <x:v>長期</x:v>
      </x:c>
    </x:row>
    <x:row r="123" ht="20" customHeight="1">
      <x:c r="A123" s="197" t="n">
        <x:v>16</x:v>
      </x:c>
      <x:c r="B123" s="242" t="n">
        <x:f>'診断'!$C$12*12*'診断'!$C$30*'診断'!$C$31*(1-'診断'!$C$19)^(A123-1)</x:f>
        <x:v>1374657.211788762</x:v>
      </x:c>
      <x:c r="C123" s="242" t="n">
        <x:f>(('診断'!$C$13+'診断'!$C$14)*12+'診断'!$C$21+'診断'!$C$22+B123*'診断'!$C$15)*'診断'!$C$33+'診断'!$C$23*'診断'!$C$34</x:f>
        <x:v>518732.8605894381</x:v>
      </x:c>
      <x:c r="D123" s="242" t="n">
        <x:f>B123-C123</x:f>
        <x:v>855924.3511993238</x:v>
      </x:c>
      <x:c r="E123" s="242" t="n">
        <x:f>IF(A123&lt;='診断'!$C$11,-PMT('診断'!$C$32/12,'診断'!$C$11*12,'診断'!$C$9)*12,0)</x:f>
        <x:v>1387114.7359884677</x:v>
      </x:c>
      <x:c r="F123" s="242" t="n">
        <x:f>D123-E123</x:f>
        <x:v>-531190.3847891439</x:v>
      </x:c>
      <x:c r="G123" s="242" t="n">
        <x:f>G122+F123</x:f>
        <x:v>-7692781.664480927</x:v>
      </x:c>
      <x:c r="H123" s="242" t="n">
        <x:f>H122+MAX(0,-F123)</x:f>
        <x:v>7692781.664480927</x:v>
      </x:c>
      <x:c r="I123" s="242" t="n">
        <x:f>IF(A123&gt;='診断'!$C$11,0,MAX(0,-FV('診断'!$C$32/12,A123*12,PMT('診断'!$C$32/12,'診断'!$C$11*12,'診断'!$C$9),'診断'!$C$9)))</x:f>
        <x:v>22307097.520353496</x:v>
      </x:c>
      <x:c r="J123" s="242" t="n">
        <x:f>'診断'!$C$7*(1+'診断'!$C$35)^A123</x:f>
        <x:v>29801021.988320645</x:v>
      </x:c>
      <x:c r="K123" s="242" t="n">
        <x:f>J123*(1-'診断'!$C$24)-'診断'!$C$25-I123</x:f>
        <x:v>6410490.742352568</x:v>
      </x:c>
      <x:c r="L123" s="242" t="n">
        <x:f>MAX(E123-MAX(I122-I123,0),0)</x:f>
        <x:v>411070.33868045337</x:v>
      </x:c>
      <x:c r="M123" s="242" t="n">
        <x:f>IF(OR($AI$20&lt;&gt;"OK",A123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122-1,0)))</x:f>
        <x:v>0</x:v>
      </x:c>
      <x:c r="N123" s="242" t="n">
        <x:f>IF(OR($AI$20&lt;&gt;"OK",A123&gt;'診断'!$C$16),0,MIN('診断'!$C$50*(1-'診断'!$C$53)*ROUNDUP(1/MAX(2,ROUNDDOWN(IF('診断'!$C$52&gt;=15,15*20%,(15-'診断'!$C$52)+'診断'!$C$52*20%),0)),3)*(12)/12,MAX(AA122-1,0)))</x:f>
        <x:v>0</x:v>
      </x:c>
      <x:c r="O123" s="242" t="n">
        <x:f>M123+N123</x:f>
        <x:v>0</x:v>
      </x:c>
      <x:c r="P123" s="134" t="n">
        <x:f>B123-C123-L123-O123</x:f>
        <x:v>444854.0125188704</x:v>
      </x:c>
      <x:c r="Q123" s="134" t="n">
        <x:f>L123*IF('診断'!$C$9&gt;0,$AI$17/'診断'!$C$9,0)</x:f>
        <x:v>399651.71816155186</x:v>
      </x:c>
      <x:c r="R123" s="134" t="n">
        <x:f>IF(P123&gt;=0,P123,MIN(0,P123+Q123))</x:f>
        <x:v>444854.0125188704</x:v>
      </x:c>
      <x:c r="S123" s="134" t="n">
        <x:f>ROUNDDOWN(MAX(($AI$8+R123)-IF(($AI$8+R123)&lt;=4890000,1040000,IF(($AI$8+R123)&lt;=6550000,670000,IF(($AI$8+R123)&lt;=23500000,620000,IF(($AI$8+R123)&lt;=24000000,480000,IF(($AI$8+R123)&lt;=24500000,320000,IF(($AI$8+R123)&lt;=25000000,160000,0))))))-$AI$10,0),-3)</x:f>
        <x:v>6374000</x:v>
      </x:c>
      <x:c r="T123" s="134" t="n">
        <x:f>ROUNDDOWN(MAX(IF(S123&lt;=1949000,S123*5%,IF(S123&lt;=3299000,S123*10%-97500,IF(S123&lt;=6949000,S123*20%-427500,IF(S123&lt;=8999000,S123*23%-636000,IF(S123&lt;=17999000,S123*33%-1536000,IF(S123&lt;=39999000,S123*40%-2796000,S123*45%-4796000)))))),0),-2)+ROUNDDOWN(ROUNDDOWN(MAX(IF(S123&lt;=1949000,S123*5%,IF(S123&lt;=3299000,S123*10%-97500,IF(S123&lt;=6949000,S123*20%-427500,IF(S123&lt;=8999000,S123*23%-636000,IF(S123&lt;=17999000,S123*33%-1536000,IF(S123&lt;=39999000,S123*40%-2796000,S123*45%-4796000)))))),0),-2)*2.1%,0)</x:f>
        <x:v>865093</x:v>
      </x:c>
      <x:c r="U123" s="134" t="n">
        <x:f>ROUNDDOWN(MAX(($AI$8+R123)-IF(($AI$8+R123)&lt;=24000000,430000,IF(($AI$8+R123)&lt;=24500000,290000,IF(($AI$8+R123)&lt;=25000000,150000,0)))-$AI$10,0),-3)</x:f>
        <x:v>6564000</x:v>
      </x:c>
      <x:c r="V123" s="134" t="n">
        <x:f>ROUNDDOWN(U123*10%,0)+5000</x:f>
        <x:v>661400</x:v>
      </x:c>
      <x:c r="W123" s="134" t="n">
        <x:f>IF($AI$20="OK",$AI$16-(T123+V123),0)</x:f>
        <x:v>0</x:v>
      </x:c>
      <x:c r="X123" s="134" t="n">
        <x:f>F123+W123</x:f>
        <x:v>-531190.3847891439</x:v>
      </x:c>
      <x:c r="Y123" s="134" t="n">
        <x:f>Y122+X123</x:f>
        <x:v>-7692781.664480927</x:v>
      </x:c>
      <x:c r="Z123" s="134" t="n">
        <x:f>MAX(Z122-M123,0)</x:f>
        <x:v>0</x:v>
      </x:c>
      <x:c r="AA123" s="134" t="n">
        <x:f>MAX(AA122-N123,0)</x:f>
        <x:v>0</x:v>
      </x:c>
      <x:c r="AB123" s="134" t="n">
        <x:f>MAX('診断'!$C$7-'診断'!$C$50,0)+Z123+AA123+'診断'!$C$57</x:f>
        <x:v>35000000</x:v>
      </x:c>
      <x:c r="AC123" s="134" t="n">
        <x:f>MAX(J123-AB123-(J123*'診断'!$C$24+'診断'!$C$25)-'診断'!$C$58,0)</x:f>
        <x:v>0</x:v>
      </x:c>
      <x:c r="AD123" s="134" t="n">
        <x:f>IF($AI$20&lt;&gt;"OK",0,AC123*IF(AG123="長期",15%+5%+15%*2.1%,30%+9%+30%*2.1%))</x:f>
        <x:v>0</x:v>
      </x:c>
      <x:c r="AE123" s="134" t="n">
        <x:f>J123-(J123*'診断'!$C$24+'診断'!$C$25)-I123-AD123</x:f>
        <x:v>6410490.742352568</x:v>
      </x:c>
      <x:c r="AF123" s="134" t="n">
        <x:f>Y123+AE123-MAX(0,'診断'!$C$7+'診断'!$C$8-'診断'!$C$9)</x:f>
        <x:v>-1782290.9221283598</x:v>
      </x:c>
      <x:c r="AG123" s="406" t="str">
        <x:f>IF('診断'!$C$49&lt;DATE(YEAR('診断'!$C$49)+A123-1-5,1,1),"長期","短期")</x:f>
        <x:v>長期</x:v>
      </x:c>
    </x:row>
    <x:row r="124" ht="20" customHeight="1">
      <x:c r="A124" s="197" t="n">
        <x:v>17</x:v>
      </x:c>
      <x:c r="B124" s="242" t="n">
        <x:f>'診断'!$C$12*12*'診断'!$C$30*'診断'!$C$31*(1-'診断'!$C$19)^(A124-1)</x:f>
        <x:v>1367783.925729818</x:v>
      </x:c>
      <x:c r="C124" s="242" t="n">
        <x:f>(('診断'!$C$13+'診断'!$C$14)*12+'診断'!$C$21+'診断'!$C$22+B124*'診断'!$C$15)*'診断'!$C$33+'診断'!$C$23*'診断'!$C$34</x:f>
        <x:v>518389.1962864909</x:v>
      </x:c>
      <x:c r="D124" s="242" t="n">
        <x:f>B124-C124</x:f>
        <x:v>849394.729443327</x:v>
      </x:c>
      <x:c r="E124" s="242" t="n">
        <x:f>IF(A124&lt;='診断'!$C$11,-PMT('診断'!$C$32/12,'診断'!$C$11*12,'診断'!$C$9)*12,0)</x:f>
        <x:v>1387114.7359884677</x:v>
      </x:c>
      <x:c r="F124" s="242" t="n">
        <x:f>D124-E124</x:f>
        <x:v>-537720.0065451406</x:v>
      </x:c>
      <x:c r="G124" s="242" t="n">
        <x:f>G123+F124</x:f>
        <x:v>-8230501.671026068</x:v>
      </x:c>
      <x:c r="H124" s="242" t="n">
        <x:f>H123+MAX(0,-F124)</x:f>
        <x:v>8230501.671026068</x:v>
      </x:c>
      <x:c r="I124" s="242" t="n">
        <x:f>IF(A124&gt;='診断'!$C$11,0,MAX(0,-FV('診断'!$C$32/12,A124*12,PMT('診断'!$C$32/12,'診断'!$C$11*12,'診断'!$C$9),'診断'!$C$9)))</x:f>
        <x:v>21313338.6541362</x:v>
      </x:c>
      <x:c r="J124" s="242" t="n">
        <x:f>'診断'!$C$7*(1+'診断'!$C$35)^A124</x:f>
        <x:v>29503011.768437438</x:v>
      </x:c>
      <x:c r="K124" s="242" t="n">
        <x:f>J124*(1-'診断'!$C$24)-'診断'!$C$25-I124</x:f>
        <x:v>7116073.725942802</x:v>
      </x:c>
      <x:c r="L124" s="242" t="n">
        <x:f>MAX(E124-MAX(I123-I124,0),0)</x:f>
        <x:v>393355.8697711711</x:v>
      </x:c>
      <x:c r="M124" s="242" t="n">
        <x:f>IF(OR($AI$20&lt;&gt;"OK",A124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123-1,0)))</x:f>
        <x:v>0</x:v>
      </x:c>
      <x:c r="N124" s="242" t="n">
        <x:f>IF(OR($AI$20&lt;&gt;"OK",A124&gt;'診断'!$C$16),0,MIN('診断'!$C$50*(1-'診断'!$C$53)*ROUNDUP(1/MAX(2,ROUNDDOWN(IF('診断'!$C$52&gt;=15,15*20%,(15-'診断'!$C$52)+'診断'!$C$52*20%),0)),3)*(12)/12,MAX(AA123-1,0)))</x:f>
        <x:v>0</x:v>
      </x:c>
      <x:c r="O124" s="242" t="n">
        <x:f>M124+N124</x:f>
        <x:v>0</x:v>
      </x:c>
      <x:c r="P124" s="134" t="n">
        <x:f>B124-C124-L124-O124</x:f>
        <x:v>456038.85967215593</x:v>
      </x:c>
      <x:c r="Q124" s="134" t="n">
        <x:f>L124*IF('診断'!$C$9&gt;0,$AI$17/'診断'!$C$9,0)</x:f>
        <x:v>382429.31783308304</x:v>
      </x:c>
      <x:c r="R124" s="134" t="n">
        <x:f>IF(P124&gt;=0,P124,MIN(0,P124+Q124))</x:f>
        <x:v>456038.85967215593</x:v>
      </x:c>
      <x:c r="S124" s="134" t="n">
        <x:f>ROUNDDOWN(MAX(($AI$8+R124)-IF(($AI$8+R124)&lt;=4890000,1040000,IF(($AI$8+R124)&lt;=6550000,670000,IF(($AI$8+R124)&lt;=23500000,620000,IF(($AI$8+R124)&lt;=24000000,480000,IF(($AI$8+R124)&lt;=24500000,320000,IF(($AI$8+R124)&lt;=25000000,160000,0))))))-$AI$10,0),-3)</x:f>
        <x:v>6386000</x:v>
      </x:c>
      <x:c r="T124" s="134" t="n">
        <x:f>ROUNDDOWN(MAX(IF(S124&lt;=1949000,S124*5%,IF(S124&lt;=3299000,S124*10%-97500,IF(S124&lt;=6949000,S124*20%-427500,IF(S124&lt;=8999000,S124*23%-636000,IF(S124&lt;=17999000,S124*33%-1536000,IF(S124&lt;=39999000,S124*40%-2796000,S124*45%-4796000)))))),0),-2)+ROUNDDOWN(ROUNDDOWN(MAX(IF(S124&lt;=1949000,S124*5%,IF(S124&lt;=3299000,S124*10%-97500,IF(S124&lt;=6949000,S124*20%-427500,IF(S124&lt;=8999000,S124*23%-636000,IF(S124&lt;=17999000,S124*33%-1536000,IF(S124&lt;=39999000,S124*40%-2796000,S124*45%-4796000)))))),0),-2)*2.1%,0)</x:f>
        <x:v>867543</x:v>
      </x:c>
      <x:c r="U124" s="134" t="n">
        <x:f>ROUNDDOWN(MAX(($AI$8+R124)-IF(($AI$8+R124)&lt;=24000000,430000,IF(($AI$8+R124)&lt;=24500000,290000,IF(($AI$8+R124)&lt;=25000000,150000,0)))-$AI$10,0),-3)</x:f>
        <x:v>6576000</x:v>
      </x:c>
      <x:c r="V124" s="134" t="n">
        <x:f>ROUNDDOWN(U124*10%,0)+5000</x:f>
        <x:v>662600</x:v>
      </x:c>
      <x:c r="W124" s="134" t="n">
        <x:f>IF($AI$20="OK",$AI$16-(T124+V124),0)</x:f>
        <x:v>0</x:v>
      </x:c>
      <x:c r="X124" s="134" t="n">
        <x:f>F124+W124</x:f>
        <x:v>-537720.0065451406</x:v>
      </x:c>
      <x:c r="Y124" s="134" t="n">
        <x:f>Y123+X124</x:f>
        <x:v>-8230501.671026068</x:v>
      </x:c>
      <x:c r="Z124" s="134" t="n">
        <x:f>MAX(Z123-M124,0)</x:f>
        <x:v>0</x:v>
      </x:c>
      <x:c r="AA124" s="134" t="n">
        <x:f>MAX(AA123-N124,0)</x:f>
        <x:v>0</x:v>
      </x:c>
      <x:c r="AB124" s="134" t="n">
        <x:f>MAX('診断'!$C$7-'診断'!$C$50,0)+Z124+AA124+'診断'!$C$57</x:f>
        <x:v>35000000</x:v>
      </x:c>
      <x:c r="AC124" s="134" t="n">
        <x:f>MAX(J124-AB124-(J124*'診断'!$C$24+'診断'!$C$25)-'診断'!$C$58,0)</x:f>
        <x:v>0</x:v>
      </x:c>
      <x:c r="AD124" s="134" t="n">
        <x:f>IF($AI$20&lt;&gt;"OK",0,AC124*IF(AG124="長期",15%+5%+15%*2.1%,30%+9%+30%*2.1%))</x:f>
        <x:v>0</x:v>
      </x:c>
      <x:c r="AE124" s="134" t="n">
        <x:f>J124-(J124*'診断'!$C$24+'診断'!$C$25)-I124-AD124</x:f>
        <x:v>7116073.725942802</x:v>
      </x:c>
      <x:c r="AF124" s="134" t="n">
        <x:f>Y124+AE124-MAX(0,'診断'!$C$7+'診断'!$C$8-'診断'!$C$9)</x:f>
        <x:v>-1614427.9450832661</x:v>
      </x:c>
      <x:c r="AG124" s="406" t="str">
        <x:f>IF('診断'!$C$49&lt;DATE(YEAR('診断'!$C$49)+A124-1-5,1,1),"長期","短期")</x:f>
        <x:v>長期</x:v>
      </x:c>
    </x:row>
    <x:row r="125" ht="20" customHeight="1">
      <x:c r="A125" s="197" t="n">
        <x:v>18</x:v>
      </x:c>
      <x:c r="B125" s="242" t="n">
        <x:f>'診断'!$C$12*12*'診断'!$C$30*'診断'!$C$31*(1-'診断'!$C$19)^(A125-1)</x:f>
        <x:v>1360945.006101169</x:v>
      </x:c>
      <x:c r="C125" s="242" t="n">
        <x:f>(('診断'!$C$13+'診断'!$C$14)*12+'診断'!$C$21+'診断'!$C$22+B125*'診断'!$C$15)*'診断'!$C$33+'診断'!$C$23*'診断'!$C$34</x:f>
        <x:v>518047.25030505843</x:v>
      </x:c>
      <x:c r="D125" s="242" t="n">
        <x:f>B125-C125</x:f>
        <x:v>842897.7557961105</x:v>
      </x:c>
      <x:c r="E125" s="242" t="n">
        <x:f>IF(A125&lt;='診断'!$C$11,-PMT('診断'!$C$32/12,'診断'!$C$11*12,'診断'!$C$9)*12,0)</x:f>
        <x:v>1387114.7359884677</x:v>
      </x:c>
      <x:c r="F125" s="242" t="n">
        <x:f>D125-E125</x:f>
        <x:v>-544216.9801923572</x:v>
      </x:c>
      <x:c r="G125" s="242" t="n">
        <x:f>G124+F125</x:f>
        <x:v>-8774718.651218425</x:v>
      </x:c>
      <x:c r="H125" s="242" t="n">
        <x:f>H124+MAX(0,-F125)</x:f>
        <x:v>8774718.651218425</x:v>
      </x:c>
      <x:c r="I125" s="242" t="n">
        <x:f>IF(A125&gt;='診断'!$C$11,0,MAX(0,-FV('診断'!$C$32/12,A125*12,PMT('診断'!$C$32/12,'診断'!$C$11*12,'診断'!$C$9),'診断'!$C$9)))</x:f>
        <x:v>20301543.814773113</x:v>
      </x:c>
      <x:c r="J125" s="242" t="n">
        <x:f>'診断'!$C$7*(1+'診断'!$C$35)^A125</x:f>
        <x:v>29207981.650753062</x:v>
      </x:c>
      <x:c r="K125" s="242" t="n">
        <x:f>J125*(1-'診断'!$C$24)-'診断'!$C$25-I125</x:f>
        <x:v>7842574.441505097</x:v>
      </x:c>
      <x:c r="L125" s="242" t="n">
        <x:f>MAX(E125-MAX(I124-I125,0),0)</x:f>
        <x:v>375319.89662538073</x:v>
      </x:c>
      <x:c r="M125" s="242" t="n">
        <x:f>IF(OR($AI$20&lt;&gt;"OK",A125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124-1,0)))</x:f>
        <x:v>0</x:v>
      </x:c>
      <x:c r="N125" s="242" t="n">
        <x:f>IF(OR($AI$20&lt;&gt;"OK",A125&gt;'診断'!$C$16),0,MIN('診断'!$C$50*(1-'診断'!$C$53)*ROUNDUP(1/MAX(2,ROUNDDOWN(IF('診断'!$C$52&gt;=15,15*20%,(15-'診断'!$C$52)+'診断'!$C$52*20%),0)),3)*(12)/12,MAX(AA124-1,0)))</x:f>
        <x:v>0</x:v>
      </x:c>
      <x:c r="O125" s="242" t="n">
        <x:f>M125+N125</x:f>
        <x:v>0</x:v>
      </x:c>
      <x:c r="P125" s="134" t="n">
        <x:f>B125-C125-L125-O125</x:f>
        <x:v>467577.85917072976</x:v>
      </x:c>
      <x:c r="Q125" s="134" t="n">
        <x:f>L125*IF('診断'!$C$9&gt;0,$AI$17/'診断'!$C$9,0)</x:f>
        <x:v>364894.3439413424</x:v>
      </x:c>
      <x:c r="R125" s="134" t="n">
        <x:f>IF(P125&gt;=0,P125,MIN(0,P125+Q125))</x:f>
        <x:v>467577.85917072976</x:v>
      </x:c>
      <x:c r="S125" s="134" t="n">
        <x:f>ROUNDDOWN(MAX(($AI$8+R125)-IF(($AI$8+R125)&lt;=4890000,1040000,IF(($AI$8+R125)&lt;=6550000,670000,IF(($AI$8+R125)&lt;=23500000,620000,IF(($AI$8+R125)&lt;=24000000,480000,IF(($AI$8+R125)&lt;=24500000,320000,IF(($AI$8+R125)&lt;=25000000,160000,0))))))-$AI$10,0),-3)</x:f>
        <x:v>6397000</x:v>
      </x:c>
      <x:c r="T125" s="134" t="n">
        <x:f>ROUNDDOWN(MAX(IF(S125&lt;=1949000,S125*5%,IF(S125&lt;=3299000,S125*10%-97500,IF(S125&lt;=6949000,S125*20%-427500,IF(S125&lt;=8999000,S125*23%-636000,IF(S125&lt;=17999000,S125*33%-1536000,IF(S125&lt;=39999000,S125*40%-2796000,S125*45%-4796000)))))),0),-2)+ROUNDDOWN(ROUNDDOWN(MAX(IF(S125&lt;=1949000,S125*5%,IF(S125&lt;=3299000,S125*10%-97500,IF(S125&lt;=6949000,S125*20%-427500,IF(S125&lt;=8999000,S125*23%-636000,IF(S125&lt;=17999000,S125*33%-1536000,IF(S125&lt;=39999000,S125*40%-2796000,S125*45%-4796000)))))),0),-2)*2.1%,0)</x:f>
        <x:v>869789</x:v>
      </x:c>
      <x:c r="U125" s="134" t="n">
        <x:f>ROUNDDOWN(MAX(($AI$8+R125)-IF(($AI$8+R125)&lt;=24000000,430000,IF(($AI$8+R125)&lt;=24500000,290000,IF(($AI$8+R125)&lt;=25000000,150000,0)))-$AI$10,0),-3)</x:f>
        <x:v>6587000</x:v>
      </x:c>
      <x:c r="V125" s="134" t="n">
        <x:f>ROUNDDOWN(U125*10%,0)+5000</x:f>
        <x:v>663700</x:v>
      </x:c>
      <x:c r="W125" s="134" t="n">
        <x:f>IF($AI$20="OK",$AI$16-(T125+V125),0)</x:f>
        <x:v>0</x:v>
      </x:c>
      <x:c r="X125" s="134" t="n">
        <x:f>F125+W125</x:f>
        <x:v>-544216.9801923572</x:v>
      </x:c>
      <x:c r="Y125" s="134" t="n">
        <x:f>Y124+X125</x:f>
        <x:v>-8774718.651218425</x:v>
      </x:c>
      <x:c r="Z125" s="134" t="n">
        <x:f>MAX(Z124-M125,0)</x:f>
        <x:v>0</x:v>
      </x:c>
      <x:c r="AA125" s="134" t="n">
        <x:f>MAX(AA124-N125,0)</x:f>
        <x:v>0</x:v>
      </x:c>
      <x:c r="AB125" s="134" t="n">
        <x:f>MAX('診断'!$C$7-'診断'!$C$50,0)+Z125+AA125+'診断'!$C$57</x:f>
        <x:v>35000000</x:v>
      </x:c>
      <x:c r="AC125" s="134" t="n">
        <x:f>MAX(J125-AB125-(J125*'診断'!$C$24+'診断'!$C$25)-'診断'!$C$58,0)</x:f>
        <x:v>0</x:v>
      </x:c>
      <x:c r="AD125" s="134" t="n">
        <x:f>IF($AI$20&lt;&gt;"OK",0,AC125*IF(AG125="長期",15%+5%+15%*2.1%,30%+9%+30%*2.1%))</x:f>
        <x:v>0</x:v>
      </x:c>
      <x:c r="AE125" s="134" t="n">
        <x:f>J125-(J125*'診断'!$C$24+'診断'!$C$25)-I125-AD125</x:f>
        <x:v>7842574.441505097</x:v>
      </x:c>
      <x:c r="AF125" s="134" t="n">
        <x:f>Y125+AE125-MAX(0,'診断'!$C$7+'診断'!$C$8-'診断'!$C$9)</x:f>
        <x:v>-1432144.2097133286</x:v>
      </x:c>
      <x:c r="AG125" s="406" t="str">
        <x:f>IF('診断'!$C$49&lt;DATE(YEAR('診断'!$C$49)+A125-1-5,1,1),"長期","短期")</x:f>
        <x:v>長期</x:v>
      </x:c>
    </x:row>
    <x:row r="126" ht="20" customHeight="1">
      <x:c r="A126" s="197" t="n">
        <x:v>19</x:v>
      </x:c>
      <x:c r="B126" s="242" t="n">
        <x:f>'診断'!$C$12*12*'診断'!$C$30*'診断'!$C$31*(1-'診断'!$C$19)^(A126-1)</x:f>
        <x:v>1354140.2810706631</x:v>
      </x:c>
      <x:c r="C126" s="242" t="n">
        <x:f>(('診断'!$C$13+'診断'!$C$14)*12+'診断'!$C$21+'診断'!$C$22+B126*'診断'!$C$15)*'診断'!$C$33+'診断'!$C$23*'診断'!$C$34</x:f>
        <x:v>517707.01405353314</x:v>
      </x:c>
      <x:c r="D126" s="242" t="n">
        <x:f>B126-C126</x:f>
        <x:v>836433.26701713</x:v>
      </x:c>
      <x:c r="E126" s="242" t="n">
        <x:f>IF(A126&lt;='診断'!$C$11,-PMT('診断'!$C$32/12,'診断'!$C$11*12,'診断'!$C$9)*12,0)</x:f>
        <x:v>1387114.7359884677</x:v>
      </x:c>
      <x:c r="F126" s="242" t="n">
        <x:f>D126-E126</x:f>
        <x:v>-550681.4689713377</x:v>
      </x:c>
      <x:c r="G126" s="242" t="n">
        <x:f>G125+F126</x:f>
        <x:v>-9325400.120189764</x:v>
      </x:c>
      <x:c r="H126" s="242" t="n">
        <x:f>H125+MAX(0,-F126)</x:f>
        <x:v>9325400.120189764</x:v>
      </x:c>
      <x:c r="I126" s="242" t="n">
        <x:f>IF(A126&gt;='診断'!$C$11,0,MAX(0,-FV('診断'!$C$32/12,A126*12,PMT('診断'!$C$32/12,'診断'!$C$11*12,'診断'!$C$9),'診断'!$C$9)))</x:f>
        <x:v>19271385.662968587</x:v>
      </x:c>
      <x:c r="J126" s="242" t="n">
        <x:f>'診断'!$C$7*(1+'診断'!$C$35)^A126</x:f>
        <x:v>28915901.834245533</x:v>
      </x:c>
      <x:c r="K126" s="242" t="n">
        <x:f>J126*(1-'診断'!$C$24)-'診断'!$C$25-I126</x:f>
        <x:v>8590291.410746843</x:v>
      </x:c>
      <x:c r="L126" s="242" t="n">
        <x:f>MAX(E126-MAX(I125-I126,0),0)</x:f>
        <x:v>356956.5841839423</x:v>
      </x:c>
      <x:c r="M126" s="242" t="n">
        <x:f>IF(OR($AI$20&lt;&gt;"OK",A126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125-1,0)))</x:f>
        <x:v>0</x:v>
      </x:c>
      <x:c r="N126" s="242" t="n">
        <x:f>IF(OR($AI$20&lt;&gt;"OK",A126&gt;'診断'!$C$16),0,MIN('診断'!$C$50*(1-'診断'!$C$53)*ROUNDUP(1/MAX(2,ROUNDDOWN(IF('診断'!$C$52&gt;=15,15*20%,(15-'診断'!$C$52)+'診断'!$C$52*20%),0)),3)*(12)/12,MAX(AA125-1,0)))</x:f>
        <x:v>0</x:v>
      </x:c>
      <x:c r="O126" s="242" t="n">
        <x:f>M126+N126</x:f>
        <x:v>0</x:v>
      </x:c>
      <x:c r="P126" s="134" t="n">
        <x:f>B126-C126-L126-O126</x:f>
        <x:v>479476.68283318775</x:v>
      </x:c>
      <x:c r="Q126" s="134" t="n">
        <x:f>L126*IF('診断'!$C$9&gt;0,$AI$17/'診断'!$C$9,0)</x:f>
        <x:v>347041.1235121661</x:v>
      </x:c>
      <x:c r="R126" s="134" t="n">
        <x:f>IF(P126&gt;=0,P126,MIN(0,P126+Q126))</x:f>
        <x:v>479476.68283318775</x:v>
      </x:c>
      <x:c r="S126" s="134" t="n">
        <x:f>ROUNDDOWN(MAX(($AI$8+R126)-IF(($AI$8+R126)&lt;=4890000,1040000,IF(($AI$8+R126)&lt;=6550000,670000,IF(($AI$8+R126)&lt;=23500000,620000,IF(($AI$8+R126)&lt;=24000000,480000,IF(($AI$8+R126)&lt;=24500000,320000,IF(($AI$8+R126)&lt;=25000000,160000,0))))))-$AI$10,0),-3)</x:f>
        <x:v>6409000</x:v>
      </x:c>
      <x:c r="T126" s="134" t="n">
        <x:f>ROUNDDOWN(MAX(IF(S126&lt;=1949000,S126*5%,IF(S126&lt;=3299000,S126*10%-97500,IF(S126&lt;=6949000,S126*20%-427500,IF(S126&lt;=8999000,S126*23%-636000,IF(S126&lt;=17999000,S126*33%-1536000,IF(S126&lt;=39999000,S126*40%-2796000,S126*45%-4796000)))))),0),-2)+ROUNDDOWN(ROUNDDOWN(MAX(IF(S126&lt;=1949000,S126*5%,IF(S126&lt;=3299000,S126*10%-97500,IF(S126&lt;=6949000,S126*20%-427500,IF(S126&lt;=8999000,S126*23%-636000,IF(S126&lt;=17999000,S126*33%-1536000,IF(S126&lt;=39999000,S126*40%-2796000,S126*45%-4796000)))))),0),-2)*2.1%,0)</x:f>
        <x:v>872240</x:v>
      </x:c>
      <x:c r="U126" s="134" t="n">
        <x:f>ROUNDDOWN(MAX(($AI$8+R126)-IF(($AI$8+R126)&lt;=24000000,430000,IF(($AI$8+R126)&lt;=24500000,290000,IF(($AI$8+R126)&lt;=25000000,150000,0)))-$AI$10,0),-3)</x:f>
        <x:v>6599000</x:v>
      </x:c>
      <x:c r="V126" s="134" t="n">
        <x:f>ROUNDDOWN(U126*10%,0)+5000</x:f>
        <x:v>664900</x:v>
      </x:c>
      <x:c r="W126" s="134" t="n">
        <x:f>IF($AI$20="OK",$AI$16-(T126+V126),0)</x:f>
        <x:v>0</x:v>
      </x:c>
      <x:c r="X126" s="134" t="n">
        <x:f>F126+W126</x:f>
        <x:v>-550681.4689713377</x:v>
      </x:c>
      <x:c r="Y126" s="134" t="n">
        <x:f>Y125+X126</x:f>
        <x:v>-9325400.120189764</x:v>
      </x:c>
      <x:c r="Z126" s="134" t="n">
        <x:f>MAX(Z125-M126,0)</x:f>
        <x:v>0</x:v>
      </x:c>
      <x:c r="AA126" s="134" t="n">
        <x:f>MAX(AA125-N126,0)</x:f>
        <x:v>0</x:v>
      </x:c>
      <x:c r="AB126" s="134" t="n">
        <x:f>MAX('診断'!$C$7-'診断'!$C$50,0)+Z126+AA126+'診断'!$C$57</x:f>
        <x:v>35000000</x:v>
      </x:c>
      <x:c r="AC126" s="134" t="n">
        <x:f>MAX(J126-AB126-(J126*'診断'!$C$24+'診断'!$C$25)-'診断'!$C$58,0)</x:f>
        <x:v>0</x:v>
      </x:c>
      <x:c r="AD126" s="134" t="n">
        <x:f>IF($AI$20&lt;&gt;"OK",0,AC126*IF(AG126="長期",15%+5%+15%*2.1%,30%+9%+30%*2.1%))</x:f>
        <x:v>0</x:v>
      </x:c>
      <x:c r="AE126" s="134" t="n">
        <x:f>J126-(J126*'診断'!$C$24+'診断'!$C$25)-I126-AD126</x:f>
        <x:v>8590291.410746843</x:v>
      </x:c>
      <x:c r="AF126" s="134" t="n">
        <x:f>Y126+AE126-MAX(0,'診断'!$C$7+'診断'!$C$8-'診断'!$C$9)</x:f>
        <x:v>-1235108.709442921</x:v>
      </x:c>
      <x:c r="AG126" s="406" t="str">
        <x:f>IF('診断'!$C$49&lt;DATE(YEAR('診断'!$C$49)+A126-1-5,1,1),"長期","短期")</x:f>
        <x:v>長期</x:v>
      </x:c>
    </x:row>
    <x:row r="127" ht="20" customHeight="1">
      <x:c r="A127" s="197" t="n">
        <x:v>20</x:v>
      </x:c>
      <x:c r="B127" s="242" t="n">
        <x:f>'診断'!$C$12*12*'診断'!$C$30*'診断'!$C$31*(1-'診断'!$C$19)^(A127-1)</x:f>
        <x:v>1347369.5796653097</x:v>
      </x:c>
      <x:c r="C127" s="242" t="n">
        <x:f>(('診断'!$C$13+'診断'!$C$14)*12+'診断'!$C$21+'診断'!$C$22+B127*'診断'!$C$15)*'診断'!$C$33+'診断'!$C$23*'診断'!$C$34</x:f>
        <x:v>517368.47898326546</x:v>
      </x:c>
      <x:c r="D127" s="242" t="n">
        <x:f>B127-C127</x:f>
        <x:v>830001.1006820443</x:v>
      </x:c>
      <x:c r="E127" s="242" t="n">
        <x:f>IF(A127&lt;='診断'!$C$11,-PMT('診断'!$C$32/12,'診断'!$C$11*12,'診断'!$C$9)*12,0)</x:f>
        <x:v>1387114.7359884677</x:v>
      </x:c>
      <x:c r="F127" s="242" t="n">
        <x:f>D127-E127</x:f>
        <x:v>-557113.6353064234</x:v>
      </x:c>
      <x:c r="G127" s="242" t="n">
        <x:f>G126+F127</x:f>
        <x:v>-9882513.755496187</x:v>
      </x:c>
      <x:c r="H127" s="242" t="n">
        <x:f>H126+MAX(0,-F127)</x:f>
        <x:v>9882513.755496187</x:v>
      </x:c>
      <x:c r="I127" s="242" t="n">
        <x:f>IF(A127&gt;='診断'!$C$11,0,MAX(0,-FV('診断'!$C$32/12,A127*12,PMT('診断'!$C$32/12,'診断'!$C$11*12,'診断'!$C$9),'診断'!$C$9)))</x:f>
        <x:v>18222530.918465883</x:v>
      </x:c>
      <x:c r="J127" s="242" t="n">
        <x:f>'診断'!$C$7*(1+'診断'!$C$35)^A127</x:f>
        <x:v>28626742.815903075</x:v>
      </x:c>
      <x:c r="K127" s="242" t="n">
        <x:f>J127*(1-'診断'!$C$24)-'診断'!$C$25-I127</x:f>
        <x:v>9359529.384512391</x:v>
      </x:c>
      <x:c r="L127" s="242" t="n">
        <x:f>MAX(E127-MAX(I126-I127,0),0)</x:f>
        <x:v>338259.9914857631</x:v>
      </x:c>
      <x:c r="M127" s="242" t="n">
        <x:f>IF(OR($AI$20&lt;&gt;"OK",A127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126-1,0)))</x:f>
        <x:v>0</x:v>
      </x:c>
      <x:c r="N127" s="242" t="n">
        <x:f>IF(OR($AI$20&lt;&gt;"OK",A127&gt;'診断'!$C$16),0,MIN('診断'!$C$50*(1-'診断'!$C$53)*ROUNDUP(1/MAX(2,ROUNDDOWN(IF('診断'!$C$52&gt;=15,15*20%,(15-'診断'!$C$52)+'診断'!$C$52*20%),0)),3)*(12)/12,MAX(AA126-1,0)))</x:f>
        <x:v>0</x:v>
      </x:c>
      <x:c r="O127" s="242" t="n">
        <x:f>M127+N127</x:f>
        <x:v>0</x:v>
      </x:c>
      <x:c r="P127" s="134" t="n">
        <x:f>B127-C127-L127-O127</x:f>
        <x:v>491741.1091962812</x:v>
      </x:c>
      <x:c r="Q127" s="134" t="n">
        <x:f>L127*IF('診断'!$C$9&gt;0,$AI$17/'診断'!$C$9,0)</x:f>
        <x:v>328863.88061115856</x:v>
      </x:c>
      <x:c r="R127" s="134" t="n">
        <x:f>IF(P127&gt;=0,P127,MIN(0,P127+Q127))</x:f>
        <x:v>491741.1091962812</x:v>
      </x:c>
      <x:c r="S127" s="134" t="n">
        <x:f>ROUNDDOWN(MAX(($AI$8+R127)-IF(($AI$8+R127)&lt;=4890000,1040000,IF(($AI$8+R127)&lt;=6550000,670000,IF(($AI$8+R127)&lt;=23500000,620000,IF(($AI$8+R127)&lt;=24000000,480000,IF(($AI$8+R127)&lt;=24500000,320000,IF(($AI$8+R127)&lt;=25000000,160000,0))))))-$AI$10,0),-3)</x:f>
        <x:v>6421000</x:v>
      </x:c>
      <x:c r="T127" s="134" t="n">
        <x:f>ROUNDDOWN(MAX(IF(S127&lt;=1949000,S127*5%,IF(S127&lt;=3299000,S127*10%-97500,IF(S127&lt;=6949000,S127*20%-427500,IF(S127&lt;=8999000,S127*23%-636000,IF(S127&lt;=17999000,S127*33%-1536000,IF(S127&lt;=39999000,S127*40%-2796000,S127*45%-4796000)))))),0),-2)+ROUNDDOWN(ROUNDDOWN(MAX(IF(S127&lt;=1949000,S127*5%,IF(S127&lt;=3299000,S127*10%-97500,IF(S127&lt;=6949000,S127*20%-427500,IF(S127&lt;=8999000,S127*23%-636000,IF(S127&lt;=17999000,S127*33%-1536000,IF(S127&lt;=39999000,S127*40%-2796000,S127*45%-4796000)))))),0),-2)*2.1%,0)</x:f>
        <x:v>874690</x:v>
      </x:c>
      <x:c r="U127" s="134" t="n">
        <x:f>ROUNDDOWN(MAX(($AI$8+R127)-IF(($AI$8+R127)&lt;=24000000,430000,IF(($AI$8+R127)&lt;=24500000,290000,IF(($AI$8+R127)&lt;=25000000,150000,0)))-$AI$10,0),-3)</x:f>
        <x:v>6611000</x:v>
      </x:c>
      <x:c r="V127" s="134" t="n">
        <x:f>ROUNDDOWN(U127*10%,0)+5000</x:f>
        <x:v>666100</x:v>
      </x:c>
      <x:c r="W127" s="134" t="n">
        <x:f>IF($AI$20="OK",$AI$16-(T127+V127),0)</x:f>
        <x:v>0</x:v>
      </x:c>
      <x:c r="X127" s="134" t="n">
        <x:f>F127+W127</x:f>
        <x:v>-557113.6353064234</x:v>
      </x:c>
      <x:c r="Y127" s="134" t="n">
        <x:f>Y126+X127</x:f>
        <x:v>-9882513.755496187</x:v>
      </x:c>
      <x:c r="Z127" s="134" t="n">
        <x:f>MAX(Z126-M127,0)</x:f>
        <x:v>0</x:v>
      </x:c>
      <x:c r="AA127" s="134" t="n">
        <x:f>MAX(AA126-N127,0)</x:f>
        <x:v>0</x:v>
      </x:c>
      <x:c r="AB127" s="134" t="n">
        <x:f>MAX('診断'!$C$7-'診断'!$C$50,0)+Z127+AA127+'診断'!$C$57</x:f>
        <x:v>35000000</x:v>
      </x:c>
      <x:c r="AC127" s="134" t="n">
        <x:f>MAX(J127-AB127-(J127*'診断'!$C$24+'診断'!$C$25)-'診断'!$C$58,0)</x:f>
        <x:v>0</x:v>
      </x:c>
      <x:c r="AD127" s="134" t="n">
        <x:f>IF($AI$20&lt;&gt;"OK",0,AC127*IF(AG127="長期",15%+5%+15%*2.1%,30%+9%+30%*2.1%))</x:f>
        <x:v>0</x:v>
      </x:c>
      <x:c r="AE127" s="134" t="n">
        <x:f>J127-(J127*'診断'!$C$24+'診断'!$C$25)-I127-AD127</x:f>
        <x:v>9359529.384512391</x:v>
      </x:c>
      <x:c r="AF127" s="134" t="n">
        <x:f>Y127+AE127-MAX(0,'診断'!$C$7+'診断'!$C$8-'診断'!$C$9)</x:f>
        <x:v>-1022984.3709837962</x:v>
      </x:c>
      <x:c r="AG127" s="406" t="str">
        <x:f>IF('診断'!$C$49&lt;DATE(YEAR('診断'!$C$49)+A127-1-5,1,1),"長期","短期")</x:f>
        <x:v>長期</x:v>
      </x:c>
    </x:row>
    <x:row r="128" ht="20" customHeight="1">
      <x:c r="A128" s="197" t="n">
        <x:v>21</x:v>
      </x:c>
      <x:c r="B128" s="242" t="n">
        <x:f>'診断'!$C$12*12*'診断'!$C$30*'診断'!$C$31*(1-'診断'!$C$19)^(A128-1)</x:f>
        <x:v>1340632.7317669832</x:v>
      </x:c>
      <x:c r="C128" s="242" t="n">
        <x:f>(('診断'!$C$13+'診断'!$C$14)*12+'診断'!$C$21+'診断'!$C$22+B128*'診断'!$C$15)*'診断'!$C$33+'診断'!$C$23*'診断'!$C$34</x:f>
        <x:v>517031.6365883492</x:v>
      </x:c>
      <x:c r="D128" s="242" t="n">
        <x:f>B128-C128</x:f>
        <x:v>823601.0951786339</x:v>
      </x:c>
      <x:c r="E128" s="242" t="n">
        <x:f>IF(A128&lt;='診断'!$C$11,-PMT('診断'!$C$32/12,'診断'!$C$11*12,'診断'!$C$9)*12,0)</x:f>
        <x:v>1387114.7359884677</x:v>
      </x:c>
      <x:c r="F128" s="242" t="n">
        <x:f>D128-E128</x:f>
        <x:v>-563513.6408098338</x:v>
      </x:c>
      <x:c r="G128" s="242" t="n">
        <x:f>G127+F128</x:f>
        <x:v>-10446027.396306021</x:v>
      </x:c>
      <x:c r="H128" s="242" t="n">
        <x:f>H127+MAX(0,-F128)</x:f>
        <x:v>10446027.396306021</x:v>
      </x:c>
      <x:c r="I128" s="242" t="n">
        <x:f>IF(A128&gt;='診断'!$C$11,0,MAX(0,-FV('診断'!$C$32/12,A128*12,PMT('診断'!$C$32/12,'診断'!$C$11*12,'診断'!$C$9),'診断'!$C$9)))</x:f>
        <x:v>17154640.252223246</x:v>
      </x:c>
      <x:c r="J128" s="242" t="n">
        <x:f>'診断'!$C$7*(1+'診断'!$C$35)^A128</x:f>
        <x:v>28340475.387744043</x:v>
      </x:c>
      <x:c r="K128" s="242" t="n">
        <x:f>J128*(1-'診断'!$C$24)-'診断'!$C$25-I128</x:f>
        <x:v>10150599.447725244</x:v>
      </x:c>
      <x:c r="L128" s="242" t="n">
        <x:f>MAX(E128-MAX(I127-I128,0),0)</x:f>
        <x:v>319224.06974583096</x:v>
      </x:c>
      <x:c r="M128" s="242" t="n">
        <x:f>IF(OR($AI$20&lt;&gt;"OK",A128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127-1,0)))</x:f>
        <x:v>0</x:v>
      </x:c>
      <x:c r="N128" s="242" t="n">
        <x:f>IF(OR($AI$20&lt;&gt;"OK",A128&gt;'診断'!$C$16),0,MIN('診断'!$C$50*(1-'診断'!$C$53)*ROUNDUP(1/MAX(2,ROUNDDOWN(IF('診断'!$C$52&gt;=15,15*20%,(15-'診断'!$C$52)+'診断'!$C$52*20%),0)),3)*(12)/12,MAX(AA127-1,0)))</x:f>
        <x:v>0</x:v>
      </x:c>
      <x:c r="O128" s="242" t="n">
        <x:f>M128+N128</x:f>
        <x:v>0</x:v>
      </x:c>
      <x:c r="P128" s="134" t="n">
        <x:f>B128-C128-L128-O128</x:f>
        <x:v>504377.02543280297</x:v>
      </x:c>
      <x:c r="Q128" s="134" t="n">
        <x:f>L128*IF('診断'!$C$9&gt;0,$AI$17/'診断'!$C$9,0)</x:f>
        <x:v>310356.73447511345</x:v>
      </x:c>
      <x:c r="R128" s="134" t="n">
        <x:f>IF(P128&gt;=0,P128,MIN(0,P128+Q128))</x:f>
        <x:v>504377.02543280297</x:v>
      </x:c>
      <x:c r="S128" s="134" t="n">
        <x:f>ROUNDDOWN(MAX(($AI$8+R128)-IF(($AI$8+R128)&lt;=4890000,1040000,IF(($AI$8+R128)&lt;=6550000,670000,IF(($AI$8+R128)&lt;=23500000,620000,IF(($AI$8+R128)&lt;=24000000,480000,IF(($AI$8+R128)&lt;=24500000,320000,IF(($AI$8+R128)&lt;=25000000,160000,0))))))-$AI$10,0),-3)</x:f>
        <x:v>6434000</x:v>
      </x:c>
      <x:c r="T128" s="134" t="n">
        <x:f>ROUNDDOWN(MAX(IF(S128&lt;=1949000,S128*5%,IF(S128&lt;=3299000,S128*10%-97500,IF(S128&lt;=6949000,S128*20%-427500,IF(S128&lt;=8999000,S128*23%-636000,IF(S128&lt;=17999000,S128*33%-1536000,IF(S128&lt;=39999000,S128*40%-2796000,S128*45%-4796000)))))),0),-2)+ROUNDDOWN(ROUNDDOWN(MAX(IF(S128&lt;=1949000,S128*5%,IF(S128&lt;=3299000,S128*10%-97500,IF(S128&lt;=6949000,S128*20%-427500,IF(S128&lt;=8999000,S128*23%-636000,IF(S128&lt;=17999000,S128*33%-1536000,IF(S128&lt;=39999000,S128*40%-2796000,S128*45%-4796000)))))),0),-2)*2.1%,0)</x:f>
        <x:v>877345</x:v>
      </x:c>
      <x:c r="U128" s="134" t="n">
        <x:f>ROUNDDOWN(MAX(($AI$8+R128)-IF(($AI$8+R128)&lt;=24000000,430000,IF(($AI$8+R128)&lt;=24500000,290000,IF(($AI$8+R128)&lt;=25000000,150000,0)))-$AI$10,0),-3)</x:f>
        <x:v>6624000</x:v>
      </x:c>
      <x:c r="V128" s="134" t="n">
        <x:f>ROUNDDOWN(U128*10%,0)+5000</x:f>
        <x:v>667400</x:v>
      </x:c>
      <x:c r="W128" s="134" t="n">
        <x:f>IF($AI$20="OK",$AI$16-(T128+V128),0)</x:f>
        <x:v>0</x:v>
      </x:c>
      <x:c r="X128" s="134" t="n">
        <x:f>F128+W128</x:f>
        <x:v>-563513.6408098338</x:v>
      </x:c>
      <x:c r="Y128" s="134" t="n">
        <x:f>Y127+X128</x:f>
        <x:v>-10446027.396306021</x:v>
      </x:c>
      <x:c r="Z128" s="134" t="n">
        <x:f>MAX(Z127-M128,0)</x:f>
        <x:v>0</x:v>
      </x:c>
      <x:c r="AA128" s="134" t="n">
        <x:f>MAX(AA127-N128,0)</x:f>
        <x:v>0</x:v>
      </x:c>
      <x:c r="AB128" s="134" t="n">
        <x:f>MAX('診断'!$C$7-'診断'!$C$50,0)+Z128+AA128+'診断'!$C$57</x:f>
        <x:v>35000000</x:v>
      </x:c>
      <x:c r="AC128" s="134" t="n">
        <x:f>MAX(J128-AB128-(J128*'診断'!$C$24+'診断'!$C$25)-'診断'!$C$58,0)</x:f>
        <x:v>0</x:v>
      </x:c>
      <x:c r="AD128" s="134" t="n">
        <x:f>IF($AI$20&lt;&gt;"OK",0,AC128*IF(AG128="長期",15%+5%+15%*2.1%,30%+9%+30%*2.1%))</x:f>
        <x:v>0</x:v>
      </x:c>
      <x:c r="AE128" s="134" t="n">
        <x:f>J128-(J128*'診断'!$C$24+'診断'!$C$25)-I128-AD128</x:f>
        <x:v>10150599.447725244</x:v>
      </x:c>
      <x:c r="AF128" s="134" t="n">
        <x:f>Y128+AE128-MAX(0,'診断'!$C$7+'診断'!$C$8-'診断'!$C$9)</x:f>
        <x:v>-795427.9485807773</x:v>
      </x:c>
      <x:c r="AG128" s="406" t="str">
        <x:f>IF('診断'!$C$49&lt;DATE(YEAR('診断'!$C$49)+A128-1-5,1,1),"長期","短期")</x:f>
        <x:v>長期</x:v>
      </x:c>
    </x:row>
    <x:row r="129" ht="20" customHeight="1">
      <x:c r="A129" s="197" t="n">
        <x:v>22</x:v>
      </x:c>
      <x:c r="B129" s="242" t="n">
        <x:f>'診断'!$C$12*12*'診断'!$C$30*'診断'!$C$31*(1-'診断'!$C$19)^(A129-1)</x:f>
        <x:v>1333929.5681081484</x:v>
      </x:c>
      <x:c r="C129" s="242" t="n">
        <x:f>(('診断'!$C$13+'診断'!$C$14)*12+'診断'!$C$21+'診断'!$C$22+B129*'診断'!$C$15)*'診断'!$C$33+'診断'!$C$23*'診断'!$C$34</x:f>
        <x:v>516696.4784054074</x:v>
      </x:c>
      <x:c r="D129" s="242" t="n">
        <x:f>B129-C129</x:f>
        <x:v>817233.089702741</x:v>
      </x:c>
      <x:c r="E129" s="242" t="n">
        <x:f>IF(A129&lt;='診断'!$C$11,-PMT('診断'!$C$32/12,'診断'!$C$11*12,'診断'!$C$9)*12,0)</x:f>
        <x:v>1387114.7359884677</x:v>
      </x:c>
      <x:c r="F129" s="242" t="n">
        <x:f>D129-E129</x:f>
        <x:v>-569881.6462857267</x:v>
      </x:c>
      <x:c r="G129" s="242" t="n">
        <x:f>G128+F129</x:f>
        <x:v>-11015909.042591747</x:v>
      </x:c>
      <x:c r="H129" s="242" t="n">
        <x:f>H128+MAX(0,-F129)</x:f>
        <x:v>11015909.042591747</x:v>
      </x:c>
      <x:c r="I129" s="242" t="n">
        <x:f>IF(A129&gt;='診断'!$C$11,0,MAX(0,-FV('診断'!$C$32/12,A129*12,PMT('診断'!$C$32/12,'診断'!$C$11*12,'診断'!$C$9),'診断'!$C$9)))</x:f>
        <x:v>16067368.176632985</x:v>
      </x:c>
      <x:c r="J129" s="242" t="n">
        <x:f>'診断'!$C$7*(1+'診断'!$C$35)^A129</x:f>
        <x:v>28057070.633866604</x:v>
      </x:c>
      <x:c r="K129" s="242" t="n">
        <x:f>J129*(1-'診断'!$C$24)-'診断'!$C$25-I129</x:f>
        <x:v>10963819.126316018</x:v>
      </x:c>
      <x:c r="L129" s="242" t="n">
        <x:f>MAX(E129-MAX(I128-I129,0),0)</x:f>
        <x:v>299842.6603982074</x:v>
      </x:c>
      <x:c r="M129" s="242" t="n">
        <x:f>IF(OR($AI$20&lt;&gt;"OK",A129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128-1,0)))</x:f>
        <x:v>0</x:v>
      </x:c>
      <x:c r="N129" s="242" t="n">
        <x:f>IF(OR($AI$20&lt;&gt;"OK",A129&gt;'診断'!$C$16),0,MIN('診断'!$C$50*(1-'診断'!$C$53)*ROUNDUP(1/MAX(2,ROUNDDOWN(IF('診断'!$C$52&gt;=15,15*20%,(15-'診断'!$C$52)+'診断'!$C$52*20%),0)),3)*(12)/12,MAX(AA128-1,0)))</x:f>
        <x:v>0</x:v>
      </x:c>
      <x:c r="O129" s="242" t="n">
        <x:f>M129+N129</x:f>
        <x:v>0</x:v>
      </x:c>
      <x:c r="P129" s="134" t="n">
        <x:f>B129-C129-L129-O129</x:f>
        <x:v>517390.42930453364</x:v>
      </x:c>
      <x:c r="Q129" s="134" t="n">
        <x:f>L129*IF('診断'!$C$9&gt;0,$AI$17/'診断'!$C$9,0)</x:f>
        <x:v>291513.69760936825</x:v>
      </x:c>
      <x:c r="R129" s="134" t="n">
        <x:f>IF(P129&gt;=0,P129,MIN(0,P129+Q129))</x:f>
        <x:v>517390.42930453364</x:v>
      </x:c>
      <x:c r="S129" s="134" t="n">
        <x:f>ROUNDDOWN(MAX(($AI$8+R129)-IF(($AI$8+R129)&lt;=4890000,1040000,IF(($AI$8+R129)&lt;=6550000,670000,IF(($AI$8+R129)&lt;=23500000,620000,IF(($AI$8+R129)&lt;=24000000,480000,IF(($AI$8+R129)&lt;=24500000,320000,IF(($AI$8+R129)&lt;=25000000,160000,0))))))-$AI$10,0),-3)</x:f>
        <x:v>6447000</x:v>
      </x:c>
      <x:c r="T129" s="134" t="n">
        <x:f>ROUNDDOWN(MAX(IF(S129&lt;=1949000,S129*5%,IF(S129&lt;=3299000,S129*10%-97500,IF(S129&lt;=6949000,S129*20%-427500,IF(S129&lt;=8999000,S129*23%-636000,IF(S129&lt;=17999000,S129*33%-1536000,IF(S129&lt;=39999000,S129*40%-2796000,S129*45%-4796000)))))),0),-2)+ROUNDDOWN(ROUNDDOWN(MAX(IF(S129&lt;=1949000,S129*5%,IF(S129&lt;=3299000,S129*10%-97500,IF(S129&lt;=6949000,S129*20%-427500,IF(S129&lt;=8999000,S129*23%-636000,IF(S129&lt;=17999000,S129*33%-1536000,IF(S129&lt;=39999000,S129*40%-2796000,S129*45%-4796000)))))),0),-2)*2.1%,0)</x:f>
        <x:v>879999</x:v>
      </x:c>
      <x:c r="U129" s="134" t="n">
        <x:f>ROUNDDOWN(MAX(($AI$8+R129)-IF(($AI$8+R129)&lt;=24000000,430000,IF(($AI$8+R129)&lt;=24500000,290000,IF(($AI$8+R129)&lt;=25000000,150000,0)))-$AI$10,0),-3)</x:f>
        <x:v>6637000</x:v>
      </x:c>
      <x:c r="V129" s="134" t="n">
        <x:f>ROUNDDOWN(U129*10%,0)+5000</x:f>
        <x:v>668700</x:v>
      </x:c>
      <x:c r="W129" s="134" t="n">
        <x:f>IF($AI$20="OK",$AI$16-(T129+V129),0)</x:f>
        <x:v>0</x:v>
      </x:c>
      <x:c r="X129" s="134" t="n">
        <x:f>F129+W129</x:f>
        <x:v>-569881.6462857267</x:v>
      </x:c>
      <x:c r="Y129" s="134" t="n">
        <x:f>Y128+X129</x:f>
        <x:v>-11015909.042591747</x:v>
      </x:c>
      <x:c r="Z129" s="134" t="n">
        <x:f>MAX(Z128-M129,0)</x:f>
        <x:v>0</x:v>
      </x:c>
      <x:c r="AA129" s="134" t="n">
        <x:f>MAX(AA128-N129,0)</x:f>
        <x:v>0</x:v>
      </x:c>
      <x:c r="AB129" s="134" t="n">
        <x:f>MAX('診断'!$C$7-'診断'!$C$50,0)+Z129+AA129+'診断'!$C$57</x:f>
        <x:v>35000000</x:v>
      </x:c>
      <x:c r="AC129" s="134" t="n">
        <x:f>MAX(J129-AB129-(J129*'診断'!$C$24+'診断'!$C$25)-'診断'!$C$58,0)</x:f>
        <x:v>0</x:v>
      </x:c>
      <x:c r="AD129" s="134" t="n">
        <x:f>IF($AI$20&lt;&gt;"OK",0,AC129*IF(AG129="長期",15%+5%+15%*2.1%,30%+9%+30%*2.1%))</x:f>
        <x:v>0</x:v>
      </x:c>
      <x:c r="AE129" s="134" t="n">
        <x:f>J129-(J129*'診断'!$C$24+'診断'!$C$25)-I129-AD129</x:f>
        <x:v>10963819.126316022</x:v>
      </x:c>
      <x:c r="AF129" s="134" t="n">
        <x:f>Y129+AE129-MAX(0,'診断'!$C$7+'診断'!$C$8-'診断'!$C$9)</x:f>
        <x:v>-552089.9162757248</x:v>
      </x:c>
      <x:c r="AG129" s="406" t="str">
        <x:f>IF('診断'!$C$49&lt;DATE(YEAR('診断'!$C$49)+A129-1-5,1,1),"長期","短期")</x:f>
        <x:v>長期</x:v>
      </x:c>
    </x:row>
    <x:row r="130" ht="20" customHeight="1">
      <x:c r="A130" s="197" t="n">
        <x:v>23</x:v>
      </x:c>
      <x:c r="B130" s="242" t="n">
        <x:f>'診断'!$C$12*12*'診断'!$C$30*'診断'!$C$31*(1-'診断'!$C$19)^(A130-1)</x:f>
        <x:v>1327259.9202676076</x:v>
      </x:c>
      <x:c r="C130" s="242" t="n">
        <x:f>(('診断'!$C$13+'診断'!$C$14)*12+'診断'!$C$21+'診断'!$C$22+B130*'診断'!$C$15)*'診断'!$C$33+'診断'!$C$23*'診断'!$C$34</x:f>
        <x:v>516362.99601338035</x:v>
      </x:c>
      <x:c r="D130" s="242" t="n">
        <x:f>B130-C130</x:f>
        <x:v>810896.9242542272</x:v>
      </x:c>
      <x:c r="E130" s="242" t="n">
        <x:f>IF(A130&lt;='診断'!$C$11,-PMT('診断'!$C$32/12,'診断'!$C$11*12,'診断'!$C$9)*12,0)</x:f>
        <x:v>1387114.7359884677</x:v>
      </x:c>
      <x:c r="F130" s="242" t="n">
        <x:f>D130-E130</x:f>
        <x:v>-576217.8117342405</x:v>
      </x:c>
      <x:c r="G130" s="242" t="n">
        <x:f>G129+F130</x:f>
        <x:v>-11592126.854325987</x:v>
      </x:c>
      <x:c r="H130" s="242" t="n">
        <x:f>H129+MAX(0,-F130)</x:f>
        <x:v>11592126.854325987</x:v>
      </x:c>
      <x:c r="I130" s="242" t="n">
        <x:f>IF(A130&gt;='診断'!$C$11,0,MAX(0,-FV('診断'!$C$32/12,A130*12,PMT('診断'!$C$32/12,'診断'!$C$11*12,'診断'!$C$9),'診断'!$C$9)))</x:f>
        <x:v>14960362.933748163</x:v>
      </x:c>
      <x:c r="J130" s="242" t="n">
        <x:f>'診断'!$C$7*(1+'診断'!$C$35)^A130</x:f>
        <x:v>27776499.927527938</x:v>
      </x:c>
      <x:c r="K130" s="242" t="n">
        <x:f>J130*(1-'診断'!$C$24)-'診断'!$C$25-I130</x:f>
        <x:v>11799512.496171352</x:v>
      </x:c>
      <x:c r="L130" s="242" t="n">
        <x:f>MAX(E130-MAX(I129-I130,0),0)</x:f>
        <x:v>280109.4931036455</x:v>
      </x:c>
      <x:c r="M130" s="242" t="n">
        <x:f>IF(OR($AI$20&lt;&gt;"OK",A130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129-1,0)))</x:f>
        <x:v>0</x:v>
      </x:c>
      <x:c r="N130" s="242" t="n">
        <x:f>IF(OR($AI$20&lt;&gt;"OK",A130&gt;'診断'!$C$16),0,MIN('診断'!$C$50*(1-'診断'!$C$53)*ROUNDUP(1/MAX(2,ROUNDDOWN(IF('診断'!$C$52&gt;=15,15*20%,(15-'診断'!$C$52)+'診断'!$C$52*20%),0)),3)*(12)/12,MAX(AA129-1,0)))</x:f>
        <x:v>0</x:v>
      </x:c>
      <x:c r="O130" s="242" t="n">
        <x:f>M130+N130</x:f>
        <x:v>0</x:v>
      </x:c>
      <x:c r="P130" s="134" t="n">
        <x:f>B130-C130-L130-O130</x:f>
        <x:v>530787.4311505817</x:v>
      </x:c>
      <x:c r="Q130" s="134" t="n">
        <x:f>L130*IF('診断'!$C$9&gt;0,$AI$17/'診断'!$C$9,0)</x:f>
        <x:v>272328.67385076644</x:v>
      </x:c>
      <x:c r="R130" s="134" t="n">
        <x:f>IF(P130&gt;=0,P130,MIN(0,P130+Q130))</x:f>
        <x:v>530787.4311505817</x:v>
      </x:c>
      <x:c r="S130" s="134" t="n">
        <x:f>ROUNDDOWN(MAX(($AI$8+R130)-IF(($AI$8+R130)&lt;=4890000,1040000,IF(($AI$8+R130)&lt;=6550000,670000,IF(($AI$8+R130)&lt;=23500000,620000,IF(($AI$8+R130)&lt;=24000000,480000,IF(($AI$8+R130)&lt;=24500000,320000,IF(($AI$8+R130)&lt;=25000000,160000,0))))))-$AI$10,0),-3)</x:f>
        <x:v>6460000</x:v>
      </x:c>
      <x:c r="T130" s="134" t="n">
        <x:f>ROUNDDOWN(MAX(IF(S130&lt;=1949000,S130*5%,IF(S130&lt;=3299000,S130*10%-97500,IF(S130&lt;=6949000,S130*20%-427500,IF(S130&lt;=8999000,S130*23%-636000,IF(S130&lt;=17999000,S130*33%-1536000,IF(S130&lt;=39999000,S130*40%-2796000,S130*45%-4796000)))))),0),-2)+ROUNDDOWN(ROUNDDOWN(MAX(IF(S130&lt;=1949000,S130*5%,IF(S130&lt;=3299000,S130*10%-97500,IF(S130&lt;=6949000,S130*20%-427500,IF(S130&lt;=8999000,S130*23%-636000,IF(S130&lt;=17999000,S130*33%-1536000,IF(S130&lt;=39999000,S130*40%-2796000,S130*45%-4796000)))))),0),-2)*2.1%,0)</x:f>
        <x:v>882654</x:v>
      </x:c>
      <x:c r="U130" s="134" t="n">
        <x:f>ROUNDDOWN(MAX(($AI$8+R130)-IF(($AI$8+R130)&lt;=24000000,430000,IF(($AI$8+R130)&lt;=24500000,290000,IF(($AI$8+R130)&lt;=25000000,150000,0)))-$AI$10,0),-3)</x:f>
        <x:v>6650000</x:v>
      </x:c>
      <x:c r="V130" s="134" t="n">
        <x:f>ROUNDDOWN(U130*10%,0)+5000</x:f>
        <x:v>670000</x:v>
      </x:c>
      <x:c r="W130" s="134" t="n">
        <x:f>IF($AI$20="OK",$AI$16-(T130+V130),0)</x:f>
        <x:v>0</x:v>
      </x:c>
      <x:c r="X130" s="134" t="n">
        <x:f>F130+W130</x:f>
        <x:v>-576217.8117342405</x:v>
      </x:c>
      <x:c r="Y130" s="134" t="n">
        <x:f>Y129+X130</x:f>
        <x:v>-11592126.854325987</x:v>
      </x:c>
      <x:c r="Z130" s="134" t="n">
        <x:f>MAX(Z129-M130,0)</x:f>
        <x:v>0</x:v>
      </x:c>
      <x:c r="AA130" s="134" t="n">
        <x:f>MAX(AA129-N130,0)</x:f>
        <x:v>0</x:v>
      </x:c>
      <x:c r="AB130" s="134" t="n">
        <x:f>MAX('診断'!$C$7-'診断'!$C$50,0)+Z130+AA130+'診断'!$C$57</x:f>
        <x:v>35000000</x:v>
      </x:c>
      <x:c r="AC130" s="134" t="n">
        <x:f>MAX(J130-AB130-(J130*'診断'!$C$24+'診断'!$C$25)-'診断'!$C$58,0)</x:f>
        <x:v>0</x:v>
      </x:c>
      <x:c r="AD130" s="134" t="n">
        <x:f>IF($AI$20&lt;&gt;"OK",0,AC130*IF(AG130="長期",15%+5%+15%*2.1%,30%+9%+30%*2.1%))</x:f>
        <x:v>0</x:v>
      </x:c>
      <x:c r="AE130" s="134" t="n">
        <x:f>J130-(J130*'診断'!$C$24+'診断'!$C$25)-I130-AD130</x:f>
        <x:v>11799512.496171352</x:v>
      </x:c>
      <x:c r="AF130" s="134" t="n">
        <x:f>Y130+AE130-MAX(0,'診断'!$C$7+'診断'!$C$8-'診断'!$C$9)</x:f>
        <x:v>-292614.3581546359</x:v>
      </x:c>
      <x:c r="AG130" s="406" t="str">
        <x:f>IF('診断'!$C$49&lt;DATE(YEAR('診断'!$C$49)+A130-1-5,1,1),"長期","短期")</x:f>
        <x:v>長期</x:v>
      </x:c>
    </x:row>
    <x:row r="131" ht="20" customHeight="1">
      <x:c r="A131" s="197" t="n">
        <x:v>24</x:v>
      </x:c>
      <x:c r="B131" s="242" t="n">
        <x:f>'診断'!$C$12*12*'診断'!$C$30*'診断'!$C$31*(1-'診断'!$C$19)^(A131-1)</x:f>
        <x:v>1320623.6206662694</x:v>
      </x:c>
      <x:c r="C131" s="242" t="n">
        <x:f>(('診断'!$C$13+'診断'!$C$14)*12+'診断'!$C$21+'診断'!$C$22+B131*'診断'!$C$15)*'診断'!$C$33+'診断'!$C$23*'診断'!$C$34</x:f>
        <x:v>516031.1810333135</x:v>
      </x:c>
      <x:c r="D131" s="242" t="n">
        <x:f>B131-C131</x:f>
        <x:v>804592.4396329559</x:v>
      </x:c>
      <x:c r="E131" s="242" t="n">
        <x:f>IF(A131&lt;='診断'!$C$11,-PMT('診断'!$C$32/12,'診断'!$C$11*12,'診断'!$C$9)*12,0)</x:f>
        <x:v>1387114.7359884677</x:v>
      </x:c>
      <x:c r="F131" s="242" t="n">
        <x:f>D131-E131</x:f>
        <x:v>-582522.2963555118</x:v>
      </x:c>
      <x:c r="G131" s="242" t="n">
        <x:f>G130+F131</x:f>
        <x:v>-12174649.1506815</x:v>
      </x:c>
      <x:c r="H131" s="242" t="n">
        <x:f>H130+MAX(0,-F131)</x:f>
        <x:v>12174649.1506815</x:v>
      </x:c>
      <x:c r="I131" s="242" t="n">
        <x:f>IF(A131&gt;='診断'!$C$11,0,MAX(0,-FV('診断'!$C$32/12,A131*12,PMT('診断'!$C$32/12,'診断'!$C$11*12,'診断'!$C$9),'診断'!$C$9)))</x:f>
        <x:v>13833266.381480701</x:v>
      </x:c>
      <x:c r="J131" s="242" t="n">
        <x:f>'診断'!$C$7*(1+'診断'!$C$35)^A131</x:f>
        <x:v>27498734.928252656</x:v>
      </x:c>
      <x:c r="K131" s="242" t="n">
        <x:f>J131*(1-'診断'!$C$24)-'診断'!$C$25-I131</x:f>
        <x:v>12658010.294139616</x:v>
      </x:c>
      <x:c r="L131" s="242" t="n">
        <x:f>MAX(E131-MAX(I130-I131,0),0)</x:f>
        <x:v>260018.18372100568</x:v>
      </x:c>
      <x:c r="M131" s="242" t="n">
        <x:f>IF(OR($AI$20&lt;&gt;"OK",A131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130-1,0)))</x:f>
        <x:v>0</x:v>
      </x:c>
      <x:c r="N131" s="242" t="n">
        <x:f>IF(OR($AI$20&lt;&gt;"OK",A131&gt;'診断'!$C$16),0,MIN('診断'!$C$50*(1-'診断'!$C$53)*ROUNDUP(1/MAX(2,ROUNDDOWN(IF('診断'!$C$52&gt;=15,15*20%,(15-'診断'!$C$52)+'診断'!$C$52*20%),0)),3)*(12)/12,MAX(AA130-1,0)))</x:f>
        <x:v>0</x:v>
      </x:c>
      <x:c r="O131" s="242" t="n">
        <x:f>M131+N131</x:f>
        <x:v>0</x:v>
      </x:c>
      <x:c r="P131" s="134" t="n">
        <x:f>B131-C131-L131-O131</x:f>
        <x:v>544574.2559119503</x:v>
      </x:c>
      <x:c r="Q131" s="134" t="n">
        <x:f>L131*IF('診断'!$C$9&gt;0,$AI$17/'診断'!$C$9,0)</x:f>
        <x:v>252795.4563954222</x:v>
      </x:c>
      <x:c r="R131" s="134" t="n">
        <x:f>IF(P131&gt;=0,P131,MIN(0,P131+Q131))</x:f>
        <x:v>544574.2559119503</x:v>
      </x:c>
      <x:c r="S131" s="134" t="n">
        <x:f>ROUNDDOWN(MAX(($AI$8+R131)-IF(($AI$8+R131)&lt;=4890000,1040000,IF(($AI$8+R131)&lt;=6550000,670000,IF(($AI$8+R131)&lt;=23500000,620000,IF(($AI$8+R131)&lt;=24000000,480000,IF(($AI$8+R131)&lt;=24500000,320000,IF(($AI$8+R131)&lt;=25000000,160000,0))))))-$AI$10,0),-3)</x:f>
        <x:v>6474000</x:v>
      </x:c>
      <x:c r="T131" s="134" t="n">
        <x:f>ROUNDDOWN(MAX(IF(S131&lt;=1949000,S131*5%,IF(S131&lt;=3299000,S131*10%-97500,IF(S131&lt;=6949000,S131*20%-427500,IF(S131&lt;=8999000,S131*23%-636000,IF(S131&lt;=17999000,S131*33%-1536000,IF(S131&lt;=39999000,S131*40%-2796000,S131*45%-4796000)))))),0),-2)+ROUNDDOWN(ROUNDDOWN(MAX(IF(S131&lt;=1949000,S131*5%,IF(S131&lt;=3299000,S131*10%-97500,IF(S131&lt;=6949000,S131*20%-427500,IF(S131&lt;=8999000,S131*23%-636000,IF(S131&lt;=17999000,S131*33%-1536000,IF(S131&lt;=39999000,S131*40%-2796000,S131*45%-4796000)))))),0),-2)*2.1%,0)</x:f>
        <x:v>885513</x:v>
      </x:c>
      <x:c r="U131" s="134" t="n">
        <x:f>ROUNDDOWN(MAX(($AI$8+R131)-IF(($AI$8+R131)&lt;=24000000,430000,IF(($AI$8+R131)&lt;=24500000,290000,IF(($AI$8+R131)&lt;=25000000,150000,0)))-$AI$10,0),-3)</x:f>
        <x:v>6664000</x:v>
      </x:c>
      <x:c r="V131" s="134" t="n">
        <x:f>ROUNDDOWN(U131*10%,0)+5000</x:f>
        <x:v>671400</x:v>
      </x:c>
      <x:c r="W131" s="134" t="n">
        <x:f>IF($AI$20="OK",$AI$16-(T131+V131),0)</x:f>
        <x:v>0</x:v>
      </x:c>
      <x:c r="X131" s="134" t="n">
        <x:f>F131+W131</x:f>
        <x:v>-582522.2963555118</x:v>
      </x:c>
      <x:c r="Y131" s="134" t="n">
        <x:f>Y130+X131</x:f>
        <x:v>-12174649.1506815</x:v>
      </x:c>
      <x:c r="Z131" s="134" t="n">
        <x:f>MAX(Z130-M131,0)</x:f>
        <x:v>0</x:v>
      </x:c>
      <x:c r="AA131" s="134" t="n">
        <x:f>MAX(AA130-N131,0)</x:f>
        <x:v>0</x:v>
      </x:c>
      <x:c r="AB131" s="134" t="n">
        <x:f>MAX('診断'!$C$7-'診断'!$C$50,0)+Z131+AA131+'診断'!$C$57</x:f>
        <x:v>35000000</x:v>
      </x:c>
      <x:c r="AC131" s="134" t="n">
        <x:f>MAX(J131-AB131-(J131*'診断'!$C$24+'診断'!$C$25)-'診断'!$C$58,0)</x:f>
        <x:v>0</x:v>
      </x:c>
      <x:c r="AD131" s="134" t="n">
        <x:f>IF($AI$20&lt;&gt;"OK",0,AC131*IF(AG131="長期",15%+5%+15%*2.1%,30%+9%+30%*2.1%))</x:f>
        <x:v>0</x:v>
      </x:c>
      <x:c r="AE131" s="134" t="n">
        <x:f>J131-(J131*'診断'!$C$24+'診断'!$C$25)-I131-AD131</x:f>
        <x:v>12658010.294139616</x:v>
      </x:c>
      <x:c r="AF131" s="134" t="n">
        <x:f>Y131+AE131-MAX(0,'診断'!$C$7+'診断'!$C$8-'診断'!$C$9)</x:f>
        <x:v>-16638.8565418832</x:v>
      </x:c>
      <x:c r="AG131" s="406" t="str">
        <x:f>IF('診断'!$C$49&lt;DATE(YEAR('診断'!$C$49)+A131-1-5,1,1),"長期","短期")</x:f>
        <x:v>長期</x:v>
      </x:c>
    </x:row>
    <x:row r="132" ht="20" customHeight="1">
      <x:c r="A132" s="197" t="n">
        <x:v>25</x:v>
      </x:c>
      <x:c r="B132" s="242" t="n">
        <x:f>'診断'!$C$12*12*'診断'!$C$30*'診断'!$C$31*(1-'診断'!$C$19)^(A132-1)</x:f>
        <x:v>1314020.5025629383</x:v>
      </x:c>
      <x:c r="C132" s="242" t="n">
        <x:f>(('診断'!$C$13+'診断'!$C$14)*12+'診断'!$C$21+'診断'!$C$22+B132*'診断'!$C$15)*'診断'!$C$33+'診断'!$C$23*'診断'!$C$34</x:f>
        <x:v>515701.0251281469</x:v>
      </x:c>
      <x:c r="D132" s="242" t="n">
        <x:f>B132-C132</x:f>
        <x:v>798319.4774347914</x:v>
      </x:c>
      <x:c r="E132" s="242" t="n">
        <x:f>IF(A132&lt;='診断'!$C$11,-PMT('診断'!$C$32/12,'診断'!$C$11*12,'診断'!$C$9)*12,0)</x:f>
        <x:v>1387114.7359884677</x:v>
      </x:c>
      <x:c r="F132" s="242" t="n">
        <x:f>D132-E132</x:f>
        <x:v>-588795.2585536763</x:v>
      </x:c>
      <x:c r="G132" s="242" t="n">
        <x:f>G131+F132</x:f>
        <x:v>-12763444.409235176</x:v>
      </x:c>
      <x:c r="H132" s="242" t="n">
        <x:f>H131+MAX(0,-F132)</x:f>
        <x:v>12763444.409235176</x:v>
      </x:c>
      <x:c r="I132" s="242" t="n">
        <x:f>IF(A132&gt;='診断'!$C$11,0,MAX(0,-FV('診断'!$C$32/12,A132*12,PMT('診断'!$C$32/12,'診断'!$C$11*12,'診断'!$C$9),'診断'!$C$9)))</x:f>
        <x:v>12685713.87773399</x:v>
      </x:c>
      <x:c r="J132" s="242" t="n">
        <x:f>'診断'!$C$7*(1+'診断'!$C$35)^A132</x:f>
        <x:v>27223747.578970134</x:v>
      </x:c>
      <x:c r="K132" s="242" t="n">
        <x:f>J132*(1-'診断'!$C$24)-'診断'!$C$25-I132</x:f>
        <x:v>13539650.031130128</x:v>
      </x:c>
      <x:c r="L132" s="242" t="n">
        <x:f>MAX(E132-MAX(I131-I132,0),0)</x:f>
        <x:v>239562.23224175698</x:v>
      </x:c>
      <x:c r="M132" s="242" t="n">
        <x:f>IF(OR($AI$20&lt;&gt;"OK",A132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131-1,0)))</x:f>
        <x:v>0</x:v>
      </x:c>
      <x:c r="N132" s="242" t="n">
        <x:f>IF(OR($AI$20&lt;&gt;"OK",A132&gt;'診断'!$C$16),0,MIN('診断'!$C$50*(1-'診断'!$C$53)*ROUNDUP(1/MAX(2,ROUNDDOWN(IF('診断'!$C$52&gt;=15,15*20%,(15-'診断'!$C$52)+'診断'!$C$52*20%),0)),3)*(12)/12,MAX(AA131-1,0)))</x:f>
        <x:v>0</x:v>
      </x:c>
      <x:c r="O132" s="242" t="n">
        <x:f>M132+N132</x:f>
        <x:v>0</x:v>
      </x:c>
      <x:c r="P132" s="134" t="n">
        <x:f>B132-C132-L132-O132</x:f>
        <x:v>558757.2451930344</x:v>
      </x:c>
      <x:c r="Q132" s="134" t="n">
        <x:f>L132*IF('診断'!$C$9&gt;0,$AI$17/'診断'!$C$9,0)</x:f>
        <x:v>232907.72579059706</x:v>
      </x:c>
      <x:c r="R132" s="134" t="n">
        <x:f>IF(P132&gt;=0,P132,MIN(0,P132+Q132))</x:f>
        <x:v>558757.2451930344</x:v>
      </x:c>
      <x:c r="S132" s="134" t="n">
        <x:f>ROUNDDOWN(MAX(($AI$8+R132)-IF(($AI$8+R132)&lt;=4890000,1040000,IF(($AI$8+R132)&lt;=6550000,670000,IF(($AI$8+R132)&lt;=23500000,620000,IF(($AI$8+R132)&lt;=24000000,480000,IF(($AI$8+R132)&lt;=24500000,320000,IF(($AI$8+R132)&lt;=25000000,160000,0))))))-$AI$10,0),-3)</x:f>
        <x:v>6488000</x:v>
      </x:c>
      <x:c r="T132" s="134" t="n">
        <x:f>ROUNDDOWN(MAX(IF(S132&lt;=1949000,S132*5%,IF(S132&lt;=3299000,S132*10%-97500,IF(S132&lt;=6949000,S132*20%-427500,IF(S132&lt;=8999000,S132*23%-636000,IF(S132&lt;=17999000,S132*33%-1536000,IF(S132&lt;=39999000,S132*40%-2796000,S132*45%-4796000)))))),0),-2)+ROUNDDOWN(ROUNDDOWN(MAX(IF(S132&lt;=1949000,S132*5%,IF(S132&lt;=3299000,S132*10%-97500,IF(S132&lt;=6949000,S132*20%-427500,IF(S132&lt;=8999000,S132*23%-636000,IF(S132&lt;=17999000,S132*33%-1536000,IF(S132&lt;=39999000,S132*40%-2796000,S132*45%-4796000)))))),0),-2)*2.1%,0)</x:f>
        <x:v>888372</x:v>
      </x:c>
      <x:c r="U132" s="134" t="n">
        <x:f>ROUNDDOWN(MAX(($AI$8+R132)-IF(($AI$8+R132)&lt;=24000000,430000,IF(($AI$8+R132)&lt;=24500000,290000,IF(($AI$8+R132)&lt;=25000000,150000,0)))-$AI$10,0),-3)</x:f>
        <x:v>6678000</x:v>
      </x:c>
      <x:c r="V132" s="134" t="n">
        <x:f>ROUNDDOWN(U132*10%,0)+5000</x:f>
        <x:v>672800</x:v>
      </x:c>
      <x:c r="W132" s="134" t="n">
        <x:f>IF($AI$20="OK",$AI$16-(T132+V132),0)</x:f>
        <x:v>0</x:v>
      </x:c>
      <x:c r="X132" s="134" t="n">
        <x:f>F132+W132</x:f>
        <x:v>-588795.2585536763</x:v>
      </x:c>
      <x:c r="Y132" s="134" t="n">
        <x:f>Y131+X132</x:f>
        <x:v>-12763444.409235176</x:v>
      </x:c>
      <x:c r="Z132" s="134" t="n">
        <x:f>MAX(Z131-M132,0)</x:f>
        <x:v>0</x:v>
      </x:c>
      <x:c r="AA132" s="134" t="n">
        <x:f>MAX(AA131-N132,0)</x:f>
        <x:v>0</x:v>
      </x:c>
      <x:c r="AB132" s="134" t="n">
        <x:f>MAX('診断'!$C$7-'診断'!$C$50,0)+Z132+AA132+'診断'!$C$57</x:f>
        <x:v>35000000</x:v>
      </x:c>
      <x:c r="AC132" s="134" t="n">
        <x:f>MAX(J132-AB132-(J132*'診断'!$C$24+'診断'!$C$25)-'診断'!$C$58,0)</x:f>
        <x:v>0</x:v>
      </x:c>
      <x:c r="AD132" s="134" t="n">
        <x:f>IF($AI$20&lt;&gt;"OK",0,AC132*IF(AG132="長期",15%+5%+15%*2.1%,30%+9%+30%*2.1%))</x:f>
        <x:v>0</x:v>
      </x:c>
      <x:c r="AE132" s="134" t="n">
        <x:f>J132-(J132*'診断'!$C$24+'診断'!$C$25)-I132-AD132</x:f>
        <x:v>13539650.031130128</x:v>
      </x:c>
      <x:c r="AF132" s="134" t="n">
        <x:f>Y132+AE132-MAX(0,'診断'!$C$7+'診断'!$C$8-'診断'!$C$9)</x:f>
        <x:v>276205.6218949519</x:v>
      </x:c>
      <x:c r="AG132" s="406" t="str">
        <x:f>IF('診断'!$C$49&lt;DATE(YEAR('診断'!$C$49)+A132-1-5,1,1),"長期","短期")</x:f>
        <x:v>長期</x:v>
      </x:c>
    </x:row>
    <x:row r="133" ht="20" customHeight="1">
      <x:c r="A133" s="197" t="n">
        <x:v>26</x:v>
      </x:c>
      <x:c r="B133" s="242" t="n">
        <x:f>'診断'!$C$12*12*'診断'!$C$30*'診断'!$C$31*(1-'診断'!$C$19)^(A133-1)</x:f>
        <x:v>1307450.4000501235</x:v>
      </x:c>
      <x:c r="C133" s="242" t="n">
        <x:f>(('診断'!$C$13+'診断'!$C$14)*12+'診断'!$C$21+'診断'!$C$22+B133*'診断'!$C$15)*'診断'!$C$33+'診断'!$C$23*'診断'!$C$34</x:f>
        <x:v>515372.5200025062</x:v>
      </x:c>
      <x:c r="D133" s="242" t="n">
        <x:f>B133-C133</x:f>
        <x:v>792077.8800476172</x:v>
      </x:c>
      <x:c r="E133" s="242" t="n">
        <x:f>IF(A133&lt;='診断'!$C$11,-PMT('診断'!$C$32/12,'診断'!$C$11*12,'診断'!$C$9)*12,0)</x:f>
        <x:v>1387114.7359884677</x:v>
      </x:c>
      <x:c r="F133" s="242" t="n">
        <x:f>D133-E133</x:f>
        <x:v>-595036.8559408505</x:v>
      </x:c>
      <x:c r="G133" s="242" t="n">
        <x:f>G132+F133</x:f>
        <x:v>-13358481.265176026</x:v>
      </x:c>
      <x:c r="H133" s="242" t="n">
        <x:f>H132+MAX(0,-F133)</x:f>
        <x:v>13358481.265176026</x:v>
      </x:c>
      <x:c r="I133" s="242" t="n">
        <x:f>IF(A133&gt;='診断'!$C$11,0,MAX(0,-FV('診断'!$C$32/12,A133*12,PMT('診断'!$C$32/12,'診断'!$C$11*12,'診断'!$C$9),'診断'!$C$9)))</x:f>
        <x:v>11517334.1624327</x:v>
      </x:c>
      <x:c r="J133" s="242" t="n">
        <x:f>'診断'!$C$7*(1+'診断'!$C$35)^A133</x:f>
        <x:v>26951510.103180427</x:v>
      </x:c>
      <x:c r="K133" s="242" t="n">
        <x:f>J133*(1-'診断'!$C$24)-'診断'!$C$25-I133</x:f>
        <x:v>14444776.107342772</x:v>
      </x:c>
      <x:c r="L133" s="242" t="n">
        <x:f>MAX(E133-MAX(I132-I133,0),0)</x:f>
        <x:v>218735.02068717754</x:v>
      </x:c>
      <x:c r="M133" s="242" t="n">
        <x:f>IF(OR($AI$20&lt;&gt;"OK",A133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132-1,0)))</x:f>
        <x:v>0</x:v>
      </x:c>
      <x:c r="N133" s="242" t="n">
        <x:f>IF(OR($AI$20&lt;&gt;"OK",A133&gt;'診断'!$C$16),0,MIN('診断'!$C$50*(1-'診断'!$C$53)*ROUNDUP(1/MAX(2,ROUNDDOWN(IF('診断'!$C$52&gt;=15,15*20%,(15-'診断'!$C$52)+'診断'!$C$52*20%),0)),3)*(12)/12,MAX(AA132-1,0)))</x:f>
        <x:v>0</x:v>
      </x:c>
      <x:c r="O133" s="242" t="n">
        <x:f>M133+N133</x:f>
        <x:v>0</x:v>
      </x:c>
      <x:c r="P133" s="134" t="n">
        <x:f>B133-C133-L133-O133</x:f>
        <x:v>573342.8593604397</x:v>
      </x:c>
      <x:c r="Q133" s="134" t="n">
        <x:f>L133*IF('診断'!$C$9&gt;0,$AI$17/'診断'!$C$9,0)</x:f>
        <x:v>212659.04789031149</x:v>
      </x:c>
      <x:c r="R133" s="134" t="n">
        <x:f>IF(P133&gt;=0,P133,MIN(0,P133+Q133))</x:f>
        <x:v>573342.8593604397</x:v>
      </x:c>
      <x:c r="S133" s="134" t="n">
        <x:f>ROUNDDOWN(MAX(($AI$8+R133)-IF(($AI$8+R133)&lt;=4890000,1040000,IF(($AI$8+R133)&lt;=6550000,670000,IF(($AI$8+R133)&lt;=23500000,620000,IF(($AI$8+R133)&lt;=24000000,480000,IF(($AI$8+R133)&lt;=24500000,320000,IF(($AI$8+R133)&lt;=25000000,160000,0))))))-$AI$10,0),-3)</x:f>
        <x:v>6503000</x:v>
      </x:c>
      <x:c r="T133" s="134" t="n">
        <x:f>ROUNDDOWN(MAX(IF(S133&lt;=1949000,S133*5%,IF(S133&lt;=3299000,S133*10%-97500,IF(S133&lt;=6949000,S133*20%-427500,IF(S133&lt;=8999000,S133*23%-636000,IF(S133&lt;=17999000,S133*33%-1536000,IF(S133&lt;=39999000,S133*40%-2796000,S133*45%-4796000)))))),0),-2)+ROUNDDOWN(ROUNDDOWN(MAX(IF(S133&lt;=1949000,S133*5%,IF(S133&lt;=3299000,S133*10%-97500,IF(S133&lt;=6949000,S133*20%-427500,IF(S133&lt;=8999000,S133*23%-636000,IF(S133&lt;=17999000,S133*33%-1536000,IF(S133&lt;=39999000,S133*40%-2796000,S133*45%-4796000)))))),0),-2)*2.1%,0)</x:f>
        <x:v>891435</x:v>
      </x:c>
      <x:c r="U133" s="134" t="n">
        <x:f>ROUNDDOWN(MAX(($AI$8+R133)-IF(($AI$8+R133)&lt;=24000000,430000,IF(($AI$8+R133)&lt;=24500000,290000,IF(($AI$8+R133)&lt;=25000000,150000,0)))-$AI$10,0),-3)</x:f>
        <x:v>6693000</x:v>
      </x:c>
      <x:c r="V133" s="134" t="n">
        <x:f>ROUNDDOWN(U133*10%,0)+5000</x:f>
        <x:v>674300</x:v>
      </x:c>
      <x:c r="W133" s="134" t="n">
        <x:f>IF($AI$20="OK",$AI$16-(T133+V133),0)</x:f>
        <x:v>0</x:v>
      </x:c>
      <x:c r="X133" s="134" t="n">
        <x:f>F133+W133</x:f>
        <x:v>-595036.8559408505</x:v>
      </x:c>
      <x:c r="Y133" s="134" t="n">
        <x:f>Y132+X133</x:f>
        <x:v>-13358481.265176026</x:v>
      </x:c>
      <x:c r="Z133" s="134" t="n">
        <x:f>MAX(Z132-M133,0)</x:f>
        <x:v>0</x:v>
      </x:c>
      <x:c r="AA133" s="134" t="n">
        <x:f>MAX(AA132-N133,0)</x:f>
        <x:v>0</x:v>
      </x:c>
      <x:c r="AB133" s="134" t="n">
        <x:f>MAX('診断'!$C$7-'診断'!$C$50,0)+Z133+AA133+'診断'!$C$57</x:f>
        <x:v>35000000</x:v>
      </x:c>
      <x:c r="AC133" s="134" t="n">
        <x:f>MAX(J133-AB133-(J133*'診断'!$C$24+'診断'!$C$25)-'診断'!$C$58,0)</x:f>
        <x:v>0</x:v>
      </x:c>
      <x:c r="AD133" s="134" t="n">
        <x:f>IF($AI$20&lt;&gt;"OK",0,AC133*IF(AG133="長期",15%+5%+15%*2.1%,30%+9%+30%*2.1%))</x:f>
        <x:v>0</x:v>
      </x:c>
      <x:c r="AE133" s="134" t="n">
        <x:f>J133-(J133*'診断'!$C$24+'診断'!$C$25)-I133-AD133</x:f>
        <x:v>14444776.107342772</x:v>
      </x:c>
      <x:c r="AF133" s="134" t="n">
        <x:f>Y133+AE133-MAX(0,'診断'!$C$7+'診断'!$C$8-'診断'!$C$9)</x:f>
        <x:v>586294.842166746</x:v>
      </x:c>
      <x:c r="AG133" s="406" t="str">
        <x:f>IF('診断'!$C$49&lt;DATE(YEAR('診断'!$C$49)+A133-1-5,1,1),"長期","短期")</x:f>
        <x:v>長期</x:v>
      </x:c>
    </x:row>
    <x:row r="134" ht="20" customHeight="1">
      <x:c r="A134" s="197" t="n">
        <x:v>27</x:v>
      </x:c>
      <x:c r="B134" s="242" t="n">
        <x:f>'診断'!$C$12*12*'診断'!$C$30*'診断'!$C$31*(1-'診断'!$C$19)^(A134-1)</x:f>
        <x:v>1300913.1480498728</x:v>
      </x:c>
      <x:c r="C134" s="242" t="n">
        <x:f>(('診断'!$C$13+'診断'!$C$14)*12+'診断'!$C$21+'診断'!$C$22+B134*'診断'!$C$15)*'診断'!$C$33+'診断'!$C$23*'診断'!$C$34</x:f>
        <x:v>515045.65740249364</x:v>
      </x:c>
      <x:c r="D134" s="242" t="n">
        <x:f>B134-C134</x:f>
        <x:v>785867.4906473792</x:v>
      </x:c>
      <x:c r="E134" s="242" t="n">
        <x:f>IF(A134&lt;='診断'!$C$11,-PMT('診断'!$C$32/12,'診断'!$C$11*12,'診断'!$C$9)*12,0)</x:f>
        <x:v>1387114.7359884677</x:v>
      </x:c>
      <x:c r="F134" s="242" t="n">
        <x:f>D134-E134</x:f>
        <x:v>-601247.2453410885</x:v>
      </x:c>
      <x:c r="G134" s="242" t="n">
        <x:f>G133+F134</x:f>
        <x:v>-13959728.510517115</x:v>
      </x:c>
      <x:c r="H134" s="242" t="n">
        <x:f>H133+MAX(0,-F134)</x:f>
        <x:v>13959728.510517115</x:v>
      </x:c>
      <x:c r="I134" s="242" t="n">
        <x:f>IF(A134&gt;='診断'!$C$11,0,MAX(0,-FV('診断'!$C$32/12,A134*12,PMT('診断'!$C$32/12,'診断'!$C$11*12,'診断'!$C$9),'診断'!$C$9)))</x:f>
        <x:v>10327749.237411395</x:v>
      </x:c>
      <x:c r="J134" s="242" t="n">
        <x:f>'診断'!$C$7*(1+'診断'!$C$35)^A134</x:f>
        <x:v>26681995.002148625</x:v>
      </x:c>
      <x:c r="K134" s="242" t="n">
        <x:f>J134*(1-'診断'!$C$24)-'診断'!$C$25-I134</x:f>
        <x:v>15373739.929666325</x:v>
      </x:c>
      <x:c r="L134" s="242" t="n">
        <x:f>MAX(E134-MAX(I133-I134,0),0)</x:f>
        <x:v>197529.81096716202</x:v>
      </x:c>
      <x:c r="M134" s="242" t="n">
        <x:f>IF(OR($AI$20&lt;&gt;"OK",A134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133-1,0)))</x:f>
        <x:v>0</x:v>
      </x:c>
      <x:c r="N134" s="242" t="n">
        <x:f>IF(OR($AI$20&lt;&gt;"OK",A134&gt;'診断'!$C$16),0,MIN('診断'!$C$50*(1-'診断'!$C$53)*ROUNDUP(1/MAX(2,ROUNDDOWN(IF('診断'!$C$52&gt;=15,15*20%,(15-'診断'!$C$52)+'診断'!$C$52*20%),0)),3)*(12)/12,MAX(AA133-1,0)))</x:f>
        <x:v>0</x:v>
      </x:c>
      <x:c r="O134" s="242" t="n">
        <x:f>M134+N134</x:f>
        <x:v>0</x:v>
      </x:c>
      <x:c r="P134" s="134" t="n">
        <x:f>B134-C134-L134-O134</x:f>
        <x:v>588337.6796802172</x:v>
      </x:c>
      <x:c r="Q134" s="134" t="n">
        <x:f>L134*IF('診断'!$C$9&gt;0,$AI$17/'診断'!$C$9,0)</x:f>
        <x:v>192042.87177362974</x:v>
      </x:c>
      <x:c r="R134" s="134" t="n">
        <x:f>IF(P134&gt;=0,P134,MIN(0,P134+Q134))</x:f>
        <x:v>588337.6796802172</x:v>
      </x:c>
      <x:c r="S134" s="134" t="n">
        <x:f>ROUNDDOWN(MAX(($AI$8+R134)-IF(($AI$8+R134)&lt;=4890000,1040000,IF(($AI$8+R134)&lt;=6550000,670000,IF(($AI$8+R134)&lt;=23500000,620000,IF(($AI$8+R134)&lt;=24000000,480000,IF(($AI$8+R134)&lt;=24500000,320000,IF(($AI$8+R134)&lt;=25000000,160000,0))))))-$AI$10,0),-3)</x:f>
        <x:v>6518000</x:v>
      </x:c>
      <x:c r="T134" s="134" t="n">
        <x:f>ROUNDDOWN(MAX(IF(S134&lt;=1949000,S134*5%,IF(S134&lt;=3299000,S134*10%-97500,IF(S134&lt;=6949000,S134*20%-427500,IF(S134&lt;=8999000,S134*23%-636000,IF(S134&lt;=17999000,S134*33%-1536000,IF(S134&lt;=39999000,S134*40%-2796000,S134*45%-4796000)))))),0),-2)+ROUNDDOWN(ROUNDDOWN(MAX(IF(S134&lt;=1949000,S134*5%,IF(S134&lt;=3299000,S134*10%-97500,IF(S134&lt;=6949000,S134*20%-427500,IF(S134&lt;=8999000,S134*23%-636000,IF(S134&lt;=17999000,S134*33%-1536000,IF(S134&lt;=39999000,S134*40%-2796000,S134*45%-4796000)))))),0),-2)*2.1%,0)</x:f>
        <x:v>894498</x:v>
      </x:c>
      <x:c r="U134" s="134" t="n">
        <x:f>ROUNDDOWN(MAX(($AI$8+R134)-IF(($AI$8+R134)&lt;=24000000,430000,IF(($AI$8+R134)&lt;=24500000,290000,IF(($AI$8+R134)&lt;=25000000,150000,0)))-$AI$10,0),-3)</x:f>
        <x:v>6708000</x:v>
      </x:c>
      <x:c r="V134" s="134" t="n">
        <x:f>ROUNDDOWN(U134*10%,0)+5000</x:f>
        <x:v>675800</x:v>
      </x:c>
      <x:c r="W134" s="134" t="n">
        <x:f>IF($AI$20="OK",$AI$16-(T134+V134),0)</x:f>
        <x:v>0</x:v>
      </x:c>
      <x:c r="X134" s="134" t="n">
        <x:f>F134+W134</x:f>
        <x:v>-601247.2453410885</x:v>
      </x:c>
      <x:c r="Y134" s="134" t="n">
        <x:f>Y133+X134</x:f>
        <x:v>-13959728.510517115</x:v>
      </x:c>
      <x:c r="Z134" s="134" t="n">
        <x:f>MAX(Z133-M134,0)</x:f>
        <x:v>0</x:v>
      </x:c>
      <x:c r="AA134" s="134" t="n">
        <x:f>MAX(AA133-N134,0)</x:f>
        <x:v>0</x:v>
      </x:c>
      <x:c r="AB134" s="134" t="n">
        <x:f>MAX('診断'!$C$7-'診断'!$C$50,0)+Z134+AA134+'診断'!$C$57</x:f>
        <x:v>35000000</x:v>
      </x:c>
      <x:c r="AC134" s="134" t="n">
        <x:f>MAX(J134-AB134-(J134*'診断'!$C$24+'診断'!$C$25)-'診断'!$C$58,0)</x:f>
        <x:v>0</x:v>
      </x:c>
      <x:c r="AD134" s="134" t="n">
        <x:f>IF($AI$20&lt;&gt;"OK",0,AC134*IF(AG134="長期",15%+5%+15%*2.1%,30%+9%+30%*2.1%))</x:f>
        <x:v>0</x:v>
      </x:c>
      <x:c r="AE134" s="134" t="n">
        <x:f>J134-(J134*'診断'!$C$24+'診断'!$C$25)-I134-AD134</x:f>
        <x:v>15373739.929666325</x:v>
      </x:c>
      <x:c r="AF134" s="134" t="n">
        <x:f>Y134+AE134-MAX(0,'診断'!$C$7+'診断'!$C$8-'診断'!$C$9)</x:f>
        <x:v>914011.4191492107</x:v>
      </x:c>
      <x:c r="AG134" s="406" t="str">
        <x:f>IF('診断'!$C$49&lt;DATE(YEAR('診断'!$C$49)+A134-1-5,1,1),"長期","短期")</x:f>
        <x:v>長期</x:v>
      </x:c>
    </x:row>
    <x:row r="135" ht="20" customHeight="1">
      <x:c r="A135" s="197" t="n">
        <x:v>28</x:v>
      </x:c>
      <x:c r="B135" s="242" t="n">
        <x:f>'診断'!$C$12*12*'診断'!$C$30*'診断'!$C$31*(1-'診断'!$C$19)^(A135-1)</x:f>
        <x:v>1294408.5823096235</x:v>
      </x:c>
      <x:c r="C135" s="242" t="n">
        <x:f>(('診断'!$C$13+'診断'!$C$14)*12+'診断'!$C$21+'診断'!$C$22+B135*'診断'!$C$15)*'診断'!$C$33+'診断'!$C$23*'診断'!$C$34</x:f>
        <x:v>514720.4291154812</x:v>
      </x:c>
      <x:c r="D135" s="242" t="n">
        <x:f>B135-C135</x:f>
        <x:v>779688.1531941423</x:v>
      </x:c>
      <x:c r="E135" s="242" t="n">
        <x:f>IF(A135&lt;='診断'!$C$11,-PMT('診断'!$C$32/12,'診断'!$C$11*12,'診断'!$C$9)*12,0)</x:f>
        <x:v>1387114.7359884677</x:v>
      </x:c>
      <x:c r="F135" s="242" t="n">
        <x:f>D135-E135</x:f>
        <x:v>-607426.5827943254</x:v>
      </x:c>
      <x:c r="G135" s="242" t="n">
        <x:f>G134+F135</x:f>
        <x:v>-14567155.09331144</x:v>
      </x:c>
      <x:c r="H135" s="242" t="n">
        <x:f>H134+MAX(0,-F135)</x:f>
        <x:v>14567155.09331144</x:v>
      </x:c>
      <x:c r="I135" s="242" t="n">
        <x:f>IF(A135&gt;='診断'!$C$11,0,MAX(0,-FV('診断'!$C$32/12,A135*12,PMT('診断'!$C$32/12,'診断'!$C$11*12,'診断'!$C$9),'診断'!$C$9)))</x:f>
        <x:v>9116574.244123347</x:v>
      </x:c>
      <x:c r="J135" s="242" t="n">
        <x:f>'診断'!$C$7*(1+'診断'!$C$35)^A135</x:f>
        <x:v>26415175.05212714</x:v>
      </x:c>
      <x:c r="K135" s="242" t="n">
        <x:f>J135*(1-'診断'!$C$24)-'診断'!$C$25-I135</x:f>
        <x:v>16326900.031283598</x:v>
      </x:c>
      <x:c r="L135" s="242" t="n">
        <x:f>MAX(E135-MAX(I134-I135,0),0)</x:f>
        <x:v>175939.7427004201</x:v>
      </x:c>
      <x:c r="M135" s="242" t="n">
        <x:f>IF(OR($AI$20&lt;&gt;"OK",A135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134-1,0)))</x:f>
        <x:v>0</x:v>
      </x:c>
      <x:c r="N135" s="242" t="n">
        <x:f>IF(OR($AI$20&lt;&gt;"OK",A135&gt;'診断'!$C$16),0,MIN('診断'!$C$50*(1-'診断'!$C$53)*ROUNDUP(1/MAX(2,ROUNDDOWN(IF('診断'!$C$52&gt;=15,15*20%,(15-'診断'!$C$52)+'診断'!$C$52*20%),0)),3)*(12)/12,MAX(AA134-1,0)))</x:f>
        <x:v>0</x:v>
      </x:c>
      <x:c r="O135" s="242" t="n">
        <x:f>M135+N135</x:f>
        <x:v>0</x:v>
      </x:c>
      <x:c r="P135" s="134" t="n">
        <x:f>B135-C135-L135-O135</x:f>
        <x:v>603748.4104937222</x:v>
      </x:c>
      <x:c r="Q135" s="134" t="n">
        <x:f>L135*IF('診断'!$C$9&gt;0,$AI$17/'診断'!$C$9,0)</x:f>
        <x:v>171052.5276254084</x:v>
      </x:c>
      <x:c r="R135" s="134" t="n">
        <x:f>IF(P135&gt;=0,P135,MIN(0,P135+Q135))</x:f>
        <x:v>603748.4104937222</x:v>
      </x:c>
      <x:c r="S135" s="134" t="n">
        <x:f>ROUNDDOWN(MAX(($AI$8+R135)-IF(($AI$8+R135)&lt;=4890000,1040000,IF(($AI$8+R135)&lt;=6550000,670000,IF(($AI$8+R135)&lt;=23500000,620000,IF(($AI$8+R135)&lt;=24000000,480000,IF(($AI$8+R135)&lt;=24500000,320000,IF(($AI$8+R135)&lt;=25000000,160000,0))))))-$AI$10,0),-3)</x:f>
        <x:v>6533000</x:v>
      </x:c>
      <x:c r="T135" s="134" t="n">
        <x:f>ROUNDDOWN(MAX(IF(S135&lt;=1949000,S135*5%,IF(S135&lt;=3299000,S135*10%-97500,IF(S135&lt;=6949000,S135*20%-427500,IF(S135&lt;=8999000,S135*23%-636000,IF(S135&lt;=17999000,S135*33%-1536000,IF(S135&lt;=39999000,S135*40%-2796000,S135*45%-4796000)))))),0),-2)+ROUNDDOWN(ROUNDDOWN(MAX(IF(S135&lt;=1949000,S135*5%,IF(S135&lt;=3299000,S135*10%-97500,IF(S135&lt;=6949000,S135*20%-427500,IF(S135&lt;=8999000,S135*23%-636000,IF(S135&lt;=17999000,S135*33%-1536000,IF(S135&lt;=39999000,S135*40%-2796000,S135*45%-4796000)))))),0),-2)*2.1%,0)</x:f>
        <x:v>897561</x:v>
      </x:c>
      <x:c r="U135" s="134" t="n">
        <x:f>ROUNDDOWN(MAX(($AI$8+R135)-IF(($AI$8+R135)&lt;=24000000,430000,IF(($AI$8+R135)&lt;=24500000,290000,IF(($AI$8+R135)&lt;=25000000,150000,0)))-$AI$10,0),-3)</x:f>
        <x:v>6723000</x:v>
      </x:c>
      <x:c r="V135" s="134" t="n">
        <x:f>ROUNDDOWN(U135*10%,0)+5000</x:f>
        <x:v>677300</x:v>
      </x:c>
      <x:c r="W135" s="134" t="n">
        <x:f>IF($AI$20="OK",$AI$16-(T135+V135),0)</x:f>
        <x:v>0</x:v>
      </x:c>
      <x:c r="X135" s="134" t="n">
        <x:f>F135+W135</x:f>
        <x:v>-607426.5827943254</x:v>
      </x:c>
      <x:c r="Y135" s="134" t="n">
        <x:f>Y134+X135</x:f>
        <x:v>-14567155.09331144</x:v>
      </x:c>
      <x:c r="Z135" s="134" t="n">
        <x:f>MAX(Z134-M135,0)</x:f>
        <x:v>0</x:v>
      </x:c>
      <x:c r="AA135" s="134" t="n">
        <x:f>MAX(AA134-N135,0)</x:f>
        <x:v>0</x:v>
      </x:c>
      <x:c r="AB135" s="134" t="n">
        <x:f>MAX('診断'!$C$7-'診断'!$C$50,0)+Z135+AA135+'診断'!$C$57</x:f>
        <x:v>35000000</x:v>
      </x:c>
      <x:c r="AC135" s="134" t="n">
        <x:f>MAX(J135-AB135-(J135*'診断'!$C$24+'診断'!$C$25)-'診断'!$C$58,0)</x:f>
        <x:v>0</x:v>
      </x:c>
      <x:c r="AD135" s="134" t="n">
        <x:f>IF($AI$20&lt;&gt;"OK",0,AC135*IF(AG135="長期",15%+5%+15%*2.1%,30%+9%+30%*2.1%))</x:f>
        <x:v>0</x:v>
      </x:c>
      <x:c r="AE135" s="134" t="n">
        <x:f>J135-(J135*'診断'!$C$24+'診断'!$C$25)-I135-AD135</x:f>
        <x:v>16326900.031283598</x:v>
      </x:c>
      <x:c r="AF135" s="134" t="n">
        <x:f>Y135+AE135-MAX(0,'診断'!$C$7+'診断'!$C$8-'診断'!$C$9)</x:f>
        <x:v>1259744.9379721582</x:v>
      </x:c>
      <x:c r="AG135" s="406" t="str">
        <x:f>IF('診断'!$C$49&lt;DATE(YEAR('診断'!$C$49)+A135-1-5,1,1),"長期","短期")</x:f>
        <x:v>長期</x:v>
      </x:c>
    </x:row>
    <x:row r="136" ht="20" customHeight="1">
      <x:c r="A136" s="197" t="n">
        <x:v>29</x:v>
      </x:c>
      <x:c r="B136" s="242" t="n">
        <x:f>'診断'!$C$12*12*'診断'!$C$30*'診断'!$C$31*(1-'診断'!$C$19)^(A136-1)</x:f>
        <x:v>1287936.5393980753</x:v>
      </x:c>
      <x:c r="C136" s="242" t="n">
        <x:f>(('診断'!$C$13+'診断'!$C$14)*12+'診断'!$C$21+'診断'!$C$22+B136*'診断'!$C$15)*'診断'!$C$33+'診断'!$C$23*'診断'!$C$34</x:f>
        <x:v>514396.8269699038</x:v>
      </x:c>
      <x:c r="D136" s="242" t="n">
        <x:f>B136-C136</x:f>
        <x:v>773539.7124281715</x:v>
      </x:c>
      <x:c r="E136" s="242" t="n">
        <x:f>IF(A136&lt;='診断'!$C$11,-PMT('診断'!$C$32/12,'診断'!$C$11*12,'診断'!$C$9)*12,0)</x:f>
        <x:v>1387114.7359884677</x:v>
      </x:c>
      <x:c r="F136" s="242" t="n">
        <x:f>D136-E136</x:f>
        <x:v>-613575.0235602962</x:v>
      </x:c>
      <x:c r="G136" s="242" t="n">
        <x:f>G135+F136</x:f>
        <x:v>-15180730.116871737</x:v>
      </x:c>
      <x:c r="H136" s="242" t="n">
        <x:f>H135+MAX(0,-F136)</x:f>
        <x:v>15180730.116871737</x:v>
      </x:c>
      <x:c r="I136" s="242" t="n">
        <x:f>IF(A136&gt;='診断'!$C$11,0,MAX(0,-FV('診断'!$C$32/12,A136*12,PMT('診断'!$C$32/12,'診断'!$C$11*12,'診断'!$C$9),'診断'!$C$9)))</x:f>
        <x:v>7883417.3391297385</x:v>
      </x:c>
      <x:c r="J136" s="242" t="n">
        <x:f>'診断'!$C$7*(1+'診断'!$C$35)^A136</x:f>
        <x:v>26151023.301605865</x:v>
      </x:c>
      <x:c r="K136" s="242" t="n">
        <x:f>J136*(1-'診断'!$C$24)-'診断'!$C$25-I136</x:f>
        <x:v>17304622.19352313</x:v>
      </x:c>
      <x:c r="L136" s="242" t="n">
        <x:f>MAX(E136-MAX(I135-I136,0),0)</x:f>
        <x:v>153957.8309948591</x:v>
      </x:c>
      <x:c r="M136" s="242" t="n">
        <x:f>IF(OR($AI$20&lt;&gt;"OK",A136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135-1,0)))</x:f>
        <x:v>0</x:v>
      </x:c>
      <x:c r="N136" s="242" t="n">
        <x:f>IF(OR($AI$20&lt;&gt;"OK",A136&gt;'診断'!$C$16),0,MIN('診断'!$C$50*(1-'診断'!$C$53)*ROUNDUP(1/MAX(2,ROUNDDOWN(IF('診断'!$C$52&gt;=15,15*20%,(15-'診断'!$C$52)+'診断'!$C$52*20%),0)),3)*(12)/12,MAX(AA135-1,0)))</x:f>
        <x:v>0</x:v>
      </x:c>
      <x:c r="O136" s="242" t="n">
        <x:f>M136+N136</x:f>
        <x:v>0</x:v>
      </x:c>
      <x:c r="P136" s="134" t="n">
        <x:f>B136-C136-L136-O136</x:f>
        <x:v>619581.8814333124</x:v>
      </x:c>
      <x:c r="Q136" s="134" t="n">
        <x:f>L136*IF('診断'!$C$9&gt;0,$AI$17/'診断'!$C$9,0)</x:f>
        <x:v>149681.22457833524</x:v>
      </x:c>
      <x:c r="R136" s="134" t="n">
        <x:f>IF(P136&gt;=0,P136,MIN(0,P136+Q136))</x:f>
        <x:v>619581.8814333124</x:v>
      </x:c>
      <x:c r="S136" s="134" t="n">
        <x:f>ROUNDDOWN(MAX(($AI$8+R136)-IF(($AI$8+R136)&lt;=4890000,1040000,IF(($AI$8+R136)&lt;=6550000,670000,IF(($AI$8+R136)&lt;=23500000,620000,IF(($AI$8+R136)&lt;=24000000,480000,IF(($AI$8+R136)&lt;=24500000,320000,IF(($AI$8+R136)&lt;=25000000,160000,0))))))-$AI$10,0),-3)</x:f>
        <x:v>6549000</x:v>
      </x:c>
      <x:c r="T136" s="134" t="n">
        <x:f>ROUNDDOWN(MAX(IF(S136&lt;=1949000,S136*5%,IF(S136&lt;=3299000,S136*10%-97500,IF(S136&lt;=6949000,S136*20%-427500,IF(S136&lt;=8999000,S136*23%-636000,IF(S136&lt;=17999000,S136*33%-1536000,IF(S136&lt;=39999000,S136*40%-2796000,S136*45%-4796000)))))),0),-2)+ROUNDDOWN(ROUNDDOWN(MAX(IF(S136&lt;=1949000,S136*5%,IF(S136&lt;=3299000,S136*10%-97500,IF(S136&lt;=6949000,S136*20%-427500,IF(S136&lt;=8999000,S136*23%-636000,IF(S136&lt;=17999000,S136*33%-1536000,IF(S136&lt;=39999000,S136*40%-2796000,S136*45%-4796000)))))),0),-2)*2.1%,0)</x:f>
        <x:v>900828</x:v>
      </x:c>
      <x:c r="U136" s="134" t="n">
        <x:f>ROUNDDOWN(MAX(($AI$8+R136)-IF(($AI$8+R136)&lt;=24000000,430000,IF(($AI$8+R136)&lt;=24500000,290000,IF(($AI$8+R136)&lt;=25000000,150000,0)))-$AI$10,0),-3)</x:f>
        <x:v>6739000</x:v>
      </x:c>
      <x:c r="V136" s="134" t="n">
        <x:f>ROUNDDOWN(U136*10%,0)+5000</x:f>
        <x:v>678900</x:v>
      </x:c>
      <x:c r="W136" s="134" t="n">
        <x:f>IF($AI$20="OK",$AI$16-(T136+V136),0)</x:f>
        <x:v>0</x:v>
      </x:c>
      <x:c r="X136" s="134" t="n">
        <x:f>F136+W136</x:f>
        <x:v>-613575.0235602962</x:v>
      </x:c>
      <x:c r="Y136" s="134" t="n">
        <x:f>Y135+X136</x:f>
        <x:v>-15180730.116871737</x:v>
      </x:c>
      <x:c r="Z136" s="134" t="n">
        <x:f>MAX(Z135-M136,0)</x:f>
        <x:v>0</x:v>
      </x:c>
      <x:c r="AA136" s="134" t="n">
        <x:f>MAX(AA135-N136,0)</x:f>
        <x:v>0</x:v>
      </x:c>
      <x:c r="AB136" s="134" t="n">
        <x:f>MAX('診断'!$C$7-'診断'!$C$50,0)+Z136+AA136+'診断'!$C$57</x:f>
        <x:v>35000000</x:v>
      </x:c>
      <x:c r="AC136" s="134" t="n">
        <x:f>MAX(J136-AB136-(J136*'診断'!$C$24+'診断'!$C$25)-'診断'!$C$58,0)</x:f>
        <x:v>0</x:v>
      </x:c>
      <x:c r="AD136" s="134" t="n">
        <x:f>IF($AI$20&lt;&gt;"OK",0,AC136*IF(AG136="長期",15%+5%+15%*2.1%,30%+9%+30%*2.1%))</x:f>
        <x:v>0</x:v>
      </x:c>
      <x:c r="AE136" s="134" t="n">
        <x:f>J136-(J136*'診断'!$C$24+'診断'!$C$25)-I136-AD136</x:f>
        <x:v>17304622.193523135</x:v>
      </x:c>
      <x:c r="AF136" s="134" t="n">
        <x:f>Y136+AE136-MAX(0,'診断'!$C$7+'診断'!$C$8-'診断'!$C$9)</x:f>
        <x:v>1623892.076651398</x:v>
      </x:c>
      <x:c r="AG136" s="406" t="str">
        <x:f>IF('診断'!$C$49&lt;DATE(YEAR('診断'!$C$49)+A136-1-5,1,1),"長期","短期")</x:f>
        <x:v>長期</x:v>
      </x:c>
    </x:row>
    <x:row r="137" ht="20" customHeight="1">
      <x:c r="A137" s="197" t="n">
        <x:v>30</x:v>
      </x:c>
      <x:c r="B137" s="242" t="n">
        <x:f>'診断'!$C$12*12*'診断'!$C$30*'診断'!$C$31*(1-'診断'!$C$19)^(A137-1)</x:f>
        <x:v>1281496.8567010849</x:v>
      </x:c>
      <x:c r="C137" s="242" t="n">
        <x:f>(('診断'!$C$13+'診断'!$C$14)*12+'診断'!$C$21+'診断'!$C$22+B137*'診断'!$C$15)*'診断'!$C$33+'診断'!$C$23*'診断'!$C$34</x:f>
        <x:v>514074.84283505427</x:v>
      </x:c>
      <x:c r="D137" s="242" t="n">
        <x:f>B137-C137</x:f>
        <x:v>767422.0138660306</x:v>
      </x:c>
      <x:c r="E137" s="242" t="n">
        <x:f>IF(A137&lt;='診断'!$C$11,-PMT('診断'!$C$32/12,'診断'!$C$11*12,'診断'!$C$9)*12,0)</x:f>
        <x:v>1387114.7359884677</x:v>
      </x:c>
      <x:c r="F137" s="242" t="n">
        <x:f>D137-E137</x:f>
        <x:v>-619692.7221224371</x:v>
      </x:c>
      <x:c r="G137" s="242" t="n">
        <x:f>G136+F137</x:f>
        <x:v>-15800422.838994173</x:v>
      </x:c>
      <x:c r="H137" s="242" t="n">
        <x:f>H136+MAX(0,-F137)</x:f>
        <x:v>15800422.838994173</x:v>
      </x:c>
      <x:c r="I137" s="242" t="n">
        <x:f>IF(A137&gt;='診断'!$C$11,0,MAX(0,-FV('診断'!$C$32/12,A137*12,PMT('診断'!$C$32/12,'診断'!$C$11*12,'診断'!$C$9),'診断'!$C$9)))</x:f>
        <x:v>6627879.5673292205</x:v>
      </x:c>
      <x:c r="J137" s="242" t="n">
        <x:f>'診断'!$C$7*(1+'診断'!$C$35)^A137</x:f>
        <x:v>25889513.068589807</x:v>
      </x:c>
      <x:c r="K137" s="242" t="n">
        <x:f>J137*(1-'診断'!$C$24)-'診断'!$C$25-I137</x:f>
        <x:v>18307279.56999712</x:v>
      </x:c>
      <x:c r="L137" s="242" t="n">
        <x:f>MAX(E137-MAX(I136-I137,0),0)</x:f>
        <x:v>131576.96418794966</x:v>
      </x:c>
      <x:c r="M137" s="242" t="n">
        <x:f>IF(OR($AI$20&lt;&gt;"OK",A137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136-1,0)))</x:f>
        <x:v>0</x:v>
      </x:c>
      <x:c r="N137" s="242" t="n">
        <x:f>IF(OR($AI$20&lt;&gt;"OK",A137&gt;'診断'!$C$16),0,MIN('診断'!$C$50*(1-'診断'!$C$53)*ROUNDUP(1/MAX(2,ROUNDDOWN(IF('診断'!$C$52&gt;=15,15*20%,(15-'診断'!$C$52)+'診断'!$C$52*20%),0)),3)*(12)/12,MAX(AA136-1,0)))</x:f>
        <x:v>0</x:v>
      </x:c>
      <x:c r="O137" s="242" t="n">
        <x:f>M137+N137</x:f>
        <x:v>0</x:v>
      </x:c>
      <x:c r="P137" s="134" t="n">
        <x:f>B137-C137-L137-O137</x:f>
        <x:v>635845.049678081</x:v>
      </x:c>
      <x:c r="Q137" s="134" t="n">
        <x:f>L137*IF('診断'!$C$9&gt;0,$AI$17/'診断'!$C$9,0)</x:f>
        <x:v>127922.04851606218</x:v>
      </x:c>
      <x:c r="R137" s="134" t="n">
        <x:f>IF(P137&gt;=0,P137,MIN(0,P137+Q137))</x:f>
        <x:v>635845.049678081</x:v>
      </x:c>
      <x:c r="S137" s="134" t="n">
        <x:f>ROUNDDOWN(MAX(($AI$8+R137)-IF(($AI$8+R137)&lt;=4890000,1040000,IF(($AI$8+R137)&lt;=6550000,670000,IF(($AI$8+R137)&lt;=23500000,620000,IF(($AI$8+R137)&lt;=24000000,480000,IF(($AI$8+R137)&lt;=24500000,320000,IF(($AI$8+R137)&lt;=25000000,160000,0))))))-$AI$10,0),-3)</x:f>
        <x:v>6565000</x:v>
      </x:c>
      <x:c r="T137" s="134" t="n">
        <x:f>ROUNDDOWN(MAX(IF(S137&lt;=1949000,S137*5%,IF(S137&lt;=3299000,S137*10%-97500,IF(S137&lt;=6949000,S137*20%-427500,IF(S137&lt;=8999000,S137*23%-636000,IF(S137&lt;=17999000,S137*33%-1536000,IF(S137&lt;=39999000,S137*40%-2796000,S137*45%-4796000)))))),0),-2)+ROUNDDOWN(ROUNDDOWN(MAX(IF(S137&lt;=1949000,S137*5%,IF(S137&lt;=3299000,S137*10%-97500,IF(S137&lt;=6949000,S137*20%-427500,IF(S137&lt;=8999000,S137*23%-636000,IF(S137&lt;=17999000,S137*33%-1536000,IF(S137&lt;=39999000,S137*40%-2796000,S137*45%-4796000)))))),0),-2)*2.1%,0)</x:f>
        <x:v>904095</x:v>
      </x:c>
      <x:c r="U137" s="134" t="n">
        <x:f>ROUNDDOWN(MAX(($AI$8+R137)-IF(($AI$8+R137)&lt;=24000000,430000,IF(($AI$8+R137)&lt;=24500000,290000,IF(($AI$8+R137)&lt;=25000000,150000,0)))-$AI$10,0),-3)</x:f>
        <x:v>6755000</x:v>
      </x:c>
      <x:c r="V137" s="134" t="n">
        <x:f>ROUNDDOWN(U137*10%,0)+5000</x:f>
        <x:v>680500</x:v>
      </x:c>
      <x:c r="W137" s="134" t="n">
        <x:f>IF($AI$20="OK",$AI$16-(T137+V137),0)</x:f>
        <x:v>0</x:v>
      </x:c>
      <x:c r="X137" s="134" t="n">
        <x:f>F137+W137</x:f>
        <x:v>-619692.7221224371</x:v>
      </x:c>
      <x:c r="Y137" s="134" t="n">
        <x:f>Y136+X137</x:f>
        <x:v>-15800422.838994173</x:v>
      </x:c>
      <x:c r="Z137" s="134" t="n">
        <x:f>MAX(Z136-M137,0)</x:f>
        <x:v>0</x:v>
      </x:c>
      <x:c r="AA137" s="134" t="n">
        <x:f>MAX(AA136-N137,0)</x:f>
        <x:v>0</x:v>
      </x:c>
      <x:c r="AB137" s="134" t="n">
        <x:f>MAX('診断'!$C$7-'診断'!$C$50,0)+Z137+AA137+'診断'!$C$57</x:f>
        <x:v>35000000</x:v>
      </x:c>
      <x:c r="AC137" s="134" t="n">
        <x:f>MAX(J137-AB137-(J137*'診断'!$C$24+'診断'!$C$25)-'診断'!$C$58,0)</x:f>
        <x:v>0</x:v>
      </x:c>
      <x:c r="AD137" s="134" t="n">
        <x:f>IF($AI$20&lt;&gt;"OK",0,AC137*IF(AG137="長期",15%+5%+15%*2.1%,30%+9%+30%*2.1%))</x:f>
        <x:v>0</x:v>
      </x:c>
      <x:c r="AE137" s="134" t="n">
        <x:f>J137-(J137*'診断'!$C$24+'診断'!$C$25)-I137-AD137</x:f>
        <x:v>18307279.56999712</x:v>
      </x:c>
      <x:c r="AF137" s="134" t="n">
        <x:f>Y137+AE137-MAX(0,'診断'!$C$7+'診断'!$C$8-'診断'!$C$9)</x:f>
        <x:v>2006856.7310029473</x:v>
      </x:c>
      <x:c r="AG137" s="406" t="str">
        <x:f>IF('診断'!$C$49&lt;DATE(YEAR('診断'!$C$49)+A137-1-5,1,1),"長期","短期")</x:f>
        <x:v>長期</x:v>
      </x:c>
    </x:row>
    <x:row r="138" ht="20" customHeight="1">
      <x:c r="A138" s="197" t="n">
        <x:v>31</x:v>
      </x:c>
      <x:c r="B138" s="242" t="n">
        <x:f>'診断'!$C$12*12*'診断'!$C$30*'診断'!$C$31*(1-'診断'!$C$19)^(A138-1)</x:f>
        <x:v>1275089.3724175796</x:v>
      </x:c>
      <x:c r="C138" s="242" t="n">
        <x:f>(('診断'!$C$13+'診断'!$C$14)*12+'診断'!$C$21+'診断'!$C$22+B138*'診断'!$C$15)*'診断'!$C$33+'診断'!$C$23*'診断'!$C$34</x:f>
        <x:v>513754.468620879</x:v>
      </x:c>
      <x:c r="D138" s="242" t="n">
        <x:f>B138-C138</x:f>
        <x:v>761334.9037967006</x:v>
      </x:c>
      <x:c r="E138" s="242" t="n">
        <x:f>IF(A138&lt;='診断'!$C$11,-PMT('診断'!$C$32/12,'診断'!$C$11*12,'診断'!$C$9)*12,0)</x:f>
        <x:v>1387114.7359884677</x:v>
      </x:c>
      <x:c r="F138" s="242" t="n">
        <x:f>D138-E138</x:f>
        <x:v>-625779.832191767</x:v>
      </x:c>
      <x:c r="G138" s="242" t="n">
        <x:f>G137+F138</x:f>
        <x:v>-16426202.67118594</x:v>
      </x:c>
      <x:c r="H138" s="242" t="n">
        <x:f>H137+MAX(0,-F138)</x:f>
        <x:v>16426202.67118594</x:v>
      </x:c>
      <x:c r="I138" s="242" t="n">
        <x:f>IF(A138&gt;='診断'!$C$11,0,MAX(0,-FV('診断'!$C$32/12,A138*12,PMT('診断'!$C$32/12,'診断'!$C$11*12,'診断'!$C$9),'診断'!$C$9)))</x:f>
        <x:v>5349554.732886516</x:v>
      </x:c>
      <x:c r="J138" s="242" t="n">
        <x:f>'診断'!$C$7*(1+'診断'!$C$35)^A138</x:f>
        <x:v>25630617.93790391</x:v>
      </x:c>
      <x:c r="K138" s="242" t="n">
        <x:f>J138*(1-'診断'!$C$24)-'診断'!$C$25-I138</x:f>
        <x:v>19335252.813066565</x:v>
      </x:c>
      <x:c r="L138" s="242" t="n">
        <x:f>MAX(E138-MAX(I137-I138,0),0)</x:f>
        <x:v>108789.90154576278</x:v>
      </x:c>
      <x:c r="M138" s="242" t="n">
        <x:f>IF(OR($AI$20&lt;&gt;"OK",A138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137-1,0)))</x:f>
        <x:v>0</x:v>
      </x:c>
      <x:c r="N138" s="242" t="n">
        <x:f>IF(OR($AI$20&lt;&gt;"OK",A138&gt;'診断'!$C$16),0,MIN('診断'!$C$50*(1-'診断'!$C$53)*ROUNDUP(1/MAX(2,ROUNDDOWN(IF('診断'!$C$52&gt;=15,15*20%,(15-'診断'!$C$52)+'診断'!$C$52*20%),0)),3)*(12)/12,MAX(AA137-1,0)))</x:f>
        <x:v>0</x:v>
      </x:c>
      <x:c r="O138" s="242" t="n">
        <x:f>M138+N138</x:f>
        <x:v>0</x:v>
      </x:c>
      <x:c r="P138" s="134" t="n">
        <x:f>B138-C138-L138-O138</x:f>
        <x:v>652545.0022509379</x:v>
      </x:c>
      <x:c r="Q138" s="134" t="n">
        <x:f>L138*IF('診断'!$C$9&gt;0,$AI$17/'診断'!$C$9,0)</x:f>
        <x:v>105767.95983615826</x:v>
      </x:c>
      <x:c r="R138" s="134" t="n">
        <x:f>IF(P138&gt;=0,P138,MIN(0,P138+Q138))</x:f>
        <x:v>652545.0022509379</x:v>
      </x:c>
      <x:c r="S138" s="134" t="n">
        <x:f>ROUNDDOWN(MAX(($AI$8+R138)-IF(($AI$8+R138)&lt;=4890000,1040000,IF(($AI$8+R138)&lt;=6550000,670000,IF(($AI$8+R138)&lt;=23500000,620000,IF(($AI$8+R138)&lt;=24000000,480000,IF(($AI$8+R138)&lt;=24500000,320000,IF(($AI$8+R138)&lt;=25000000,160000,0))))))-$AI$10,0),-3)</x:f>
        <x:v>6582000</x:v>
      </x:c>
      <x:c r="T138" s="134" t="n">
        <x:f>ROUNDDOWN(MAX(IF(S138&lt;=1949000,S138*5%,IF(S138&lt;=3299000,S138*10%-97500,IF(S138&lt;=6949000,S138*20%-427500,IF(S138&lt;=8999000,S138*23%-636000,IF(S138&lt;=17999000,S138*33%-1536000,IF(S138&lt;=39999000,S138*40%-2796000,S138*45%-4796000)))))),0),-2)+ROUNDDOWN(ROUNDDOWN(MAX(IF(S138&lt;=1949000,S138*5%,IF(S138&lt;=3299000,S138*10%-97500,IF(S138&lt;=6949000,S138*20%-427500,IF(S138&lt;=8999000,S138*23%-636000,IF(S138&lt;=17999000,S138*33%-1536000,IF(S138&lt;=39999000,S138*40%-2796000,S138*45%-4796000)))))),0),-2)*2.1%,0)</x:f>
        <x:v>907566</x:v>
      </x:c>
      <x:c r="U138" s="134" t="n">
        <x:f>ROUNDDOWN(MAX(($AI$8+R138)-IF(($AI$8+R138)&lt;=24000000,430000,IF(($AI$8+R138)&lt;=24500000,290000,IF(($AI$8+R138)&lt;=25000000,150000,0)))-$AI$10,0),-3)</x:f>
        <x:v>6772000</x:v>
      </x:c>
      <x:c r="V138" s="134" t="n">
        <x:f>ROUNDDOWN(U138*10%,0)+5000</x:f>
        <x:v>682200</x:v>
      </x:c>
      <x:c r="W138" s="134" t="n">
        <x:f>IF($AI$20="OK",$AI$16-(T138+V138),0)</x:f>
        <x:v>0</x:v>
      </x:c>
      <x:c r="X138" s="134" t="n">
        <x:f>F138+W138</x:f>
        <x:v>-625779.832191767</x:v>
      </x:c>
      <x:c r="Y138" s="134" t="n">
        <x:f>Y137+X138</x:f>
        <x:v>-16426202.67118594</x:v>
      </x:c>
      <x:c r="Z138" s="134" t="n">
        <x:f>MAX(Z137-M138,0)</x:f>
        <x:v>0</x:v>
      </x:c>
      <x:c r="AA138" s="134" t="n">
        <x:f>MAX(AA137-N138,0)</x:f>
        <x:v>0</x:v>
      </x:c>
      <x:c r="AB138" s="134" t="n">
        <x:f>MAX('診断'!$C$7-'診断'!$C$50,0)+Z138+AA138+'診断'!$C$57</x:f>
        <x:v>35000000</x:v>
      </x:c>
      <x:c r="AC138" s="134" t="n">
        <x:f>MAX(J138-AB138-(J138*'診断'!$C$24+'診断'!$C$25)-'診断'!$C$58,0)</x:f>
        <x:v>0</x:v>
      </x:c>
      <x:c r="AD138" s="134" t="n">
        <x:f>IF($AI$20&lt;&gt;"OK",0,AC138*IF(AG138="長期",15%+5%+15%*2.1%,30%+9%+30%*2.1%))</x:f>
        <x:v>0</x:v>
      </x:c>
      <x:c r="AE138" s="134" t="n">
        <x:f>J138-(J138*'診断'!$C$24+'診断'!$C$25)-I138-AD138</x:f>
        <x:v>19335252.813066565</x:v>
      </x:c>
      <x:c r="AF138" s="134" t="n">
        <x:f>Y138+AE138-MAX(0,'診断'!$C$7+'診断'!$C$8-'診断'!$C$9)</x:f>
        <x:v>2409050.141880624</x:v>
      </x:c>
      <x:c r="AG138" s="406" t="str">
        <x:f>IF('診断'!$C$49&lt;DATE(YEAR('診断'!$C$49)+A138-1-5,1,1),"長期","短期")</x:f>
        <x:v>長期</x:v>
      </x:c>
    </x:row>
    <x:row r="139" ht="20" customHeight="1">
      <x:c r="A139" s="197" t="n">
        <x:v>32</x:v>
      </x:c>
      <x:c r="B139" s="242" t="n">
        <x:f>'診断'!$C$12*12*'診断'!$C$30*'診断'!$C$31*(1-'診断'!$C$19)^(A139-1)</x:f>
        <x:v>1268713.9255554916</x:v>
      </x:c>
      <x:c r="C139" s="242" t="n">
        <x:f>(('診断'!$C$13+'診断'!$C$14)*12+'診断'!$C$21+'診断'!$C$22+B139*'診断'!$C$15)*'診断'!$C$33+'診断'!$C$23*'診断'!$C$34</x:f>
        <x:v>513435.6962777746</x:v>
      </x:c>
      <x:c r="D139" s="242" t="n">
        <x:f>B139-C139</x:f>
        <x:v>755278.229277717</x:v>
      </x:c>
      <x:c r="E139" s="242" t="n">
        <x:f>IF(A139&lt;='診断'!$C$11,-PMT('診断'!$C$32/12,'診断'!$C$11*12,'診断'!$C$9)*12,0)</x:f>
        <x:v>1387114.7359884677</x:v>
      </x:c>
      <x:c r="F139" s="242" t="n">
        <x:f>D139-E139</x:f>
        <x:v>-631836.5067107507</x:v>
      </x:c>
      <x:c r="G139" s="242" t="n">
        <x:f>G138+F139</x:f>
        <x:v>-17058039.17789669</x:v>
      </x:c>
      <x:c r="H139" s="242" t="n">
        <x:f>H138+MAX(0,-F139)</x:f>
        <x:v>17058039.17789669</x:v>
      </x:c>
      <x:c r="I139" s="242" t="n">
        <x:f>IF(A139&gt;='診断'!$C$11,0,MAX(0,-FV('診断'!$C$32/12,A139*12,PMT('診断'!$C$32/12,'診断'!$C$11*12,'診断'!$C$9),'診断'!$C$9)))</x:f>
        <x:v>4048029.267818637</x:v>
      </x:c>
      <x:c r="J139" s="242" t="n">
        <x:f>'診断'!$C$7*(1+'診断'!$C$35)^A139</x:f>
        <x:v>25374311.75852487</x:v>
      </x:c>
      <x:c r="K139" s="242" t="n">
        <x:f>J139*(1-'診断'!$C$24)-'診断'!$C$25-I139</x:f>
        <x:v>20388930.20267491</x:v>
      </x:c>
      <x:c r="L139" s="242" t="n">
        <x:f>MAX(E139-MAX(I138-I139,0),0)</x:f>
        <x:v>85589.27092058933</x:v>
      </x:c>
      <x:c r="M139" s="242" t="n">
        <x:f>IF(OR($AI$20&lt;&gt;"OK",A139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138-1,0)))</x:f>
        <x:v>0</x:v>
      </x:c>
      <x:c r="N139" s="242" t="n">
        <x:f>IF(OR($AI$20&lt;&gt;"OK",A139&gt;'診断'!$C$16),0,MIN('診断'!$C$50*(1-'診断'!$C$53)*ROUNDUP(1/MAX(2,ROUNDDOWN(IF('診断'!$C$52&gt;=15,15*20%,(15-'診断'!$C$52)+'診断'!$C$52*20%),0)),3)*(12)/12,MAX(AA138-1,0)))</x:f>
        <x:v>0</x:v>
      </x:c>
      <x:c r="O139" s="242" t="n">
        <x:f>M139+N139</x:f>
        <x:v>0</x:v>
      </x:c>
      <x:c r="P139" s="134" t="n">
        <x:f>B139-C139-L139-O139</x:f>
        <x:v>669688.9583571276</x:v>
      </x:c>
      <x:c r="Q139" s="134" t="n">
        <x:f>L139*IF('診断'!$C$9&gt;0,$AI$17/'診断'!$C$9,0)</x:f>
        <x:v>83211.79117279519</x:v>
      </x:c>
      <x:c r="R139" s="134" t="n">
        <x:f>IF(P139&gt;=0,P139,MIN(0,P139+Q139))</x:f>
        <x:v>669688.9583571276</x:v>
      </x:c>
      <x:c r="S139" s="134" t="n">
        <x:f>ROUNDDOWN(MAX(($AI$8+R139)-IF(($AI$8+R139)&lt;=4890000,1040000,IF(($AI$8+R139)&lt;=6550000,670000,IF(($AI$8+R139)&lt;=23500000,620000,IF(($AI$8+R139)&lt;=24000000,480000,IF(($AI$8+R139)&lt;=24500000,320000,IF(($AI$8+R139)&lt;=25000000,160000,0))))))-$AI$10,0),-3)</x:f>
        <x:v>6599000</x:v>
      </x:c>
      <x:c r="T139" s="134" t="n">
        <x:f>ROUNDDOWN(MAX(IF(S139&lt;=1949000,S139*5%,IF(S139&lt;=3299000,S139*10%-97500,IF(S139&lt;=6949000,S139*20%-427500,IF(S139&lt;=8999000,S139*23%-636000,IF(S139&lt;=17999000,S139*33%-1536000,IF(S139&lt;=39999000,S139*40%-2796000,S139*45%-4796000)))))),0),-2)+ROUNDDOWN(ROUNDDOWN(MAX(IF(S139&lt;=1949000,S139*5%,IF(S139&lt;=3299000,S139*10%-97500,IF(S139&lt;=6949000,S139*20%-427500,IF(S139&lt;=8999000,S139*23%-636000,IF(S139&lt;=17999000,S139*33%-1536000,IF(S139&lt;=39999000,S139*40%-2796000,S139*45%-4796000)))))),0),-2)*2.1%,0)</x:f>
        <x:v>911038</x:v>
      </x:c>
      <x:c r="U139" s="134" t="n">
        <x:f>ROUNDDOWN(MAX(($AI$8+R139)-IF(($AI$8+R139)&lt;=24000000,430000,IF(($AI$8+R139)&lt;=24500000,290000,IF(($AI$8+R139)&lt;=25000000,150000,0)))-$AI$10,0),-3)</x:f>
        <x:v>6789000</x:v>
      </x:c>
      <x:c r="V139" s="134" t="n">
        <x:f>ROUNDDOWN(U139*10%,0)+5000</x:f>
        <x:v>683900</x:v>
      </x:c>
      <x:c r="W139" s="134" t="n">
        <x:f>IF($AI$20="OK",$AI$16-(T139+V139),0)</x:f>
        <x:v>0</x:v>
      </x:c>
      <x:c r="X139" s="134" t="n">
        <x:f>F139+W139</x:f>
        <x:v>-631836.5067107507</x:v>
      </x:c>
      <x:c r="Y139" s="134" t="n">
        <x:f>Y138+X139</x:f>
        <x:v>-17058039.17789669</x:v>
      </x:c>
      <x:c r="Z139" s="134" t="n">
        <x:f>MAX(Z138-M139,0)</x:f>
        <x:v>0</x:v>
      </x:c>
      <x:c r="AA139" s="134" t="n">
        <x:f>MAX(AA138-N139,0)</x:f>
        <x:v>0</x:v>
      </x:c>
      <x:c r="AB139" s="134" t="n">
        <x:f>MAX('診断'!$C$7-'診断'!$C$50,0)+Z139+AA139+'診断'!$C$57</x:f>
        <x:v>35000000</x:v>
      </x:c>
      <x:c r="AC139" s="134" t="n">
        <x:f>MAX(J139-AB139-(J139*'診断'!$C$24+'診断'!$C$25)-'診断'!$C$58,0)</x:f>
        <x:v>0</x:v>
      </x:c>
      <x:c r="AD139" s="134" t="n">
        <x:f>IF($AI$20&lt;&gt;"OK",0,AC139*IF(AG139="長期",15%+5%+15%*2.1%,30%+9%+30%*2.1%))</x:f>
        <x:v>0</x:v>
      </x:c>
      <x:c r="AE139" s="134" t="n">
        <x:f>J139-(J139*'診断'!$C$24+'診断'!$C$25)-I139-AD139</x:f>
        <x:v>20388930.20267491</x:v>
      </x:c>
      <x:c r="AF139" s="134" t="n">
        <x:f>Y139+AE139-MAX(0,'診断'!$C$7+'診断'!$C$8-'診断'!$C$9)</x:f>
        <x:v>2830891.024778221</x:v>
      </x:c>
      <x:c r="AG139" s="406" t="str">
        <x:f>IF('診断'!$C$49&lt;DATE(YEAR('診断'!$C$49)+A139-1-5,1,1),"長期","短期")</x:f>
        <x:v>長期</x:v>
      </x:c>
    </x:row>
    <x:row r="140" ht="20" customHeight="1">
      <x:c r="A140" s="197" t="n">
        <x:v>33</x:v>
      </x:c>
      <x:c r="B140" s="242" t="n">
        <x:f>'診断'!$C$12*12*'診断'!$C$30*'診断'!$C$31*(1-'診断'!$C$19)^(A140-1)</x:f>
        <x:v>1262370.3559277141</x:v>
      </x:c>
      <x:c r="C140" s="242" t="n">
        <x:f>(('診断'!$C$13+'診断'!$C$14)*12+'診断'!$C$21+'診断'!$C$22+B140*'診断'!$C$15)*'診断'!$C$33+'診断'!$C$23*'診断'!$C$34</x:f>
        <x:v>513118.5177963857</x:v>
      </x:c>
      <x:c r="D140" s="242" t="n">
        <x:f>B140-C140</x:f>
        <x:v>749251.8381313285</x:v>
      </x:c>
      <x:c r="E140" s="242" t="n">
        <x:f>IF(A140&lt;='診断'!$C$11,-PMT('診断'!$C$32/12,'診断'!$C$11*12,'診断'!$C$9)*12,0)</x:f>
        <x:v>1387114.7359884677</x:v>
      </x:c>
      <x:c r="F140" s="242" t="n">
        <x:f>D140-E140</x:f>
        <x:v>-637862.8978571392</x:v>
      </x:c>
      <x:c r="G140" s="242" t="n">
        <x:f>G139+F140</x:f>
        <x:v>-17695902.07575383</x:v>
      </x:c>
      <x:c r="H140" s="242" t="n">
        <x:f>H139+MAX(0,-F140)</x:f>
        <x:v>17695902.07575383</x:v>
      </x:c>
      <x:c r="I140" s="242" t="n">
        <x:f>IF(A140&gt;='診断'!$C$11,0,MAX(0,-FV('診断'!$C$32/12,A140*12,PMT('診断'!$C$32/12,'診断'!$C$11*12,'診断'!$C$9),'診断'!$C$9)))</x:f>
        <x:v>2722882.098195918</x:v>
      </x:c>
      <x:c r="J140" s="242" t="n">
        <x:f>'診断'!$C$7*(1+'診断'!$C$35)^A140</x:f>
        <x:v>25120568.640939623</x:v>
      </x:c>
      <x:c r="K140" s="242" t="n">
        <x:f>J140*(1-'診断'!$C$24)-'診断'!$C$25-I140</x:f>
        <x:v>21468707.777592696</x:v>
      </x:c>
      <x:c r="L140" s="242" t="n">
        <x:f>MAX(E140-MAX(I139-I140,0),0)</x:f>
        <x:v>61967.56636574841</x:v>
      </x:c>
      <x:c r="M140" s="242" t="n">
        <x:f>IF(OR($AI$20&lt;&gt;"OK",A140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139-1,0)))</x:f>
        <x:v>0</x:v>
      </x:c>
      <x:c r="N140" s="242" t="n">
        <x:f>IF(OR($AI$20&lt;&gt;"OK",A140&gt;'診断'!$C$16),0,MIN('診断'!$C$50*(1-'診断'!$C$53)*ROUNDUP(1/MAX(2,ROUNDDOWN(IF('診断'!$C$52&gt;=15,15*20%,(15-'診断'!$C$52)+'診断'!$C$52*20%),0)),3)*(12)/12,MAX(AA139-1,0)))</x:f>
        <x:v>0</x:v>
      </x:c>
      <x:c r="O140" s="242" t="n">
        <x:f>M140+N140</x:f>
        <x:v>0</x:v>
      </x:c>
      <x:c r="P140" s="134" t="n">
        <x:f>B140-C140-L140-O140</x:f>
        <x:v>687284.27176558</x:v>
      </x:c>
      <x:c r="Q140" s="134" t="n">
        <x:f>L140*IF('診断'!$C$9&gt;0,$AI$17/'診断'!$C$9,0)</x:f>
        <x:v>60246.245077810956</x:v>
      </x:c>
      <x:c r="R140" s="134" t="n">
        <x:f>IF(P140&gt;=0,P140,MIN(0,P140+Q140))</x:f>
        <x:v>687284.27176558</x:v>
      </x:c>
      <x:c r="S140" s="134" t="n">
        <x:f>ROUNDDOWN(MAX(($AI$8+R140)-IF(($AI$8+R140)&lt;=4890000,1040000,IF(($AI$8+R140)&lt;=6550000,670000,IF(($AI$8+R140)&lt;=23500000,620000,IF(($AI$8+R140)&lt;=24000000,480000,IF(($AI$8+R140)&lt;=24500000,320000,IF(($AI$8+R140)&lt;=25000000,160000,0))))))-$AI$10,0),-3)</x:f>
        <x:v>6617000</x:v>
      </x:c>
      <x:c r="T140" s="134" t="n">
        <x:f>ROUNDDOWN(MAX(IF(S140&lt;=1949000,S140*5%,IF(S140&lt;=3299000,S140*10%-97500,IF(S140&lt;=6949000,S140*20%-427500,IF(S140&lt;=8999000,S140*23%-636000,IF(S140&lt;=17999000,S140*33%-1536000,IF(S140&lt;=39999000,S140*40%-2796000,S140*45%-4796000)))))),0),-2)+ROUNDDOWN(ROUNDDOWN(MAX(IF(S140&lt;=1949000,S140*5%,IF(S140&lt;=3299000,S140*10%-97500,IF(S140&lt;=6949000,S140*20%-427500,IF(S140&lt;=8999000,S140*23%-636000,IF(S140&lt;=17999000,S140*33%-1536000,IF(S140&lt;=39999000,S140*40%-2796000,S140*45%-4796000)))))),0),-2)*2.1%,0)</x:f>
        <x:v>914713</x:v>
      </x:c>
      <x:c r="U140" s="134" t="n">
        <x:f>ROUNDDOWN(MAX(($AI$8+R140)-IF(($AI$8+R140)&lt;=24000000,430000,IF(($AI$8+R140)&lt;=24500000,290000,IF(($AI$8+R140)&lt;=25000000,150000,0)))-$AI$10,0),-3)</x:f>
        <x:v>6807000</x:v>
      </x:c>
      <x:c r="V140" s="134" t="n">
        <x:f>ROUNDDOWN(U140*10%,0)+5000</x:f>
        <x:v>685700</x:v>
      </x:c>
      <x:c r="W140" s="134" t="n">
        <x:f>IF($AI$20="OK",$AI$16-(T140+V140),0)</x:f>
        <x:v>0</x:v>
      </x:c>
      <x:c r="X140" s="134" t="n">
        <x:f>F140+W140</x:f>
        <x:v>-637862.8978571392</x:v>
      </x:c>
      <x:c r="Y140" s="134" t="n">
        <x:f>Y139+X140</x:f>
        <x:v>-17695902.07575383</x:v>
      </x:c>
      <x:c r="Z140" s="134" t="n">
        <x:f>MAX(Z139-M140,0)</x:f>
        <x:v>0</x:v>
      </x:c>
      <x:c r="AA140" s="134" t="n">
        <x:f>MAX(AA139-N140,0)</x:f>
        <x:v>0</x:v>
      </x:c>
      <x:c r="AB140" s="134" t="n">
        <x:f>MAX('診断'!$C$7-'診断'!$C$50,0)+Z140+AA140+'診断'!$C$57</x:f>
        <x:v>35000000</x:v>
      </x:c>
      <x:c r="AC140" s="134" t="n">
        <x:f>MAX(J140-AB140-(J140*'診断'!$C$24+'診断'!$C$25)-'診断'!$C$58,0)</x:f>
        <x:v>0</x:v>
      </x:c>
      <x:c r="AD140" s="134" t="n">
        <x:f>IF($AI$20&lt;&gt;"OK",0,AC140*IF(AG140="長期",15%+5%+15%*2.1%,30%+9%+30%*2.1%))</x:f>
        <x:v>0</x:v>
      </x:c>
      <x:c r="AE140" s="134" t="n">
        <x:f>J140-(J140*'診断'!$C$24+'診断'!$C$25)-I140-AD140</x:f>
        <x:v>21468707.777592696</x:v>
      </x:c>
      <x:c r="AF140" s="134" t="n">
        <x:f>Y140+AE140-MAX(0,'診断'!$C$7+'診断'!$C$8-'診断'!$C$9)</x:f>
        <x:v>3272805.701838866</x:v>
      </x:c>
      <x:c r="AG140" s="406" t="str">
        <x:f>IF('診断'!$C$49&lt;DATE(YEAR('診断'!$C$49)+A140-1-5,1,1),"長期","短期")</x:f>
        <x:v>長期</x:v>
      </x:c>
    </x:row>
    <x:row r="141" ht="20" customHeight="1">
      <x:c r="A141" s="197" t="n">
        <x:v>34</x:v>
      </x:c>
      <x:c r="B141" s="242" t="n">
        <x:f>'診断'!$C$12*12*'診断'!$C$30*'診断'!$C$31*(1-'診断'!$C$19)^(A141-1)</x:f>
        <x:v>1256058.5041480756</x:v>
      </x:c>
      <x:c r="C141" s="242" t="n">
        <x:f>(('診断'!$C$13+'診断'!$C$14)*12+'診断'!$C$21+'診断'!$C$22+B141*'診断'!$C$15)*'診断'!$C$33+'診断'!$C$23*'診断'!$C$34</x:f>
        <x:v>512802.9252074038</x:v>
      </x:c>
      <x:c r="D141" s="242" t="n">
        <x:f>B141-C141</x:f>
        <x:v>743255.5789406719</x:v>
      </x:c>
      <x:c r="E141" s="242" t="n">
        <x:f>IF(A141&lt;='診断'!$C$11,-PMT('診断'!$C$32/12,'診断'!$C$11*12,'診断'!$C$9)*12,0)</x:f>
        <x:v>1387114.7359884677</x:v>
      </x:c>
      <x:c r="F141" s="242" t="n">
        <x:f>D141-E141</x:f>
        <x:v>-643859.1570477958</x:v>
      </x:c>
      <x:c r="G141" s="242" t="n">
        <x:f>G140+F141</x:f>
        <x:v>-18339761.232801627</x:v>
      </x:c>
      <x:c r="H141" s="242" t="n">
        <x:f>H140+MAX(0,-F141)</x:f>
        <x:v>18339761.232801627</x:v>
      </x:c>
      <x:c r="I141" s="242" t="n">
        <x:f>IF(A141&gt;='診断'!$C$11,0,MAX(0,-FV('診断'!$C$32/12,A141*12,PMT('診断'!$C$32/12,'診断'!$C$11*12,'診断'!$C$9),'診断'!$C$9)))</x:f>
        <x:v>1373684.5079148114</x:v>
      </x:c>
      <x:c r="J141" s="242" t="n">
        <x:f>'診断'!$C$7*(1+'診断'!$C$35)^A141</x:f>
        <x:v>24869362.954530224</x:v>
      </x:c>
      <x:c r="K141" s="242" t="n">
        <x:f>J141*(1-'診断'!$C$24)-'診断'!$C$25-I141</x:f>
        <x:v>22574989.469115913</x:v>
      </x:c>
      <x:c r="L141" s="242" t="n">
        <x:f>MAX(E141-MAX(I140-I141,0),0)</x:f>
        <x:v>37917.14570736117</x:v>
      </x:c>
      <x:c r="M141" s="242" t="n">
        <x:f>IF(OR($AI$20&lt;&gt;"OK",A141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140-1,0)))</x:f>
        <x:v>0</x:v>
      </x:c>
      <x:c r="N141" s="242" t="n">
        <x:f>IF(OR($AI$20&lt;&gt;"OK",A141&gt;'診断'!$C$16),0,MIN('診断'!$C$50*(1-'診断'!$C$53)*ROUNDUP(1/MAX(2,ROUNDDOWN(IF('診断'!$C$52&gt;=15,15*20%,(15-'診断'!$C$52)+'診断'!$C$52*20%),0)),3)*(12)/12,MAX(AA140-1,0)))</x:f>
        <x:v>0</x:v>
      </x:c>
      <x:c r="O141" s="242" t="n">
        <x:f>M141+N141</x:f>
        <x:v>0</x:v>
      </x:c>
      <x:c r="P141" s="134" t="n">
        <x:f>B141-C141-L141-O141</x:f>
        <x:v>705338.4332333107</x:v>
      </x:c>
      <x:c r="Q141" s="134" t="n">
        <x:f>L141*IF('診断'!$C$9&gt;0,$AI$17/'診断'!$C$9,0)</x:f>
        <x:v>36863.89165993447</x:v>
      </x:c>
      <x:c r="R141" s="134" t="n">
        <x:f>IF(P141&gt;=0,P141,MIN(0,P141+Q141))</x:f>
        <x:v>705338.4332333107</x:v>
      </x:c>
      <x:c r="S141" s="134" t="n">
        <x:f>ROUNDDOWN(MAX(($AI$8+R141)-IF(($AI$8+R141)&lt;=4890000,1040000,IF(($AI$8+R141)&lt;=6550000,670000,IF(($AI$8+R141)&lt;=23500000,620000,IF(($AI$8+R141)&lt;=24000000,480000,IF(($AI$8+R141)&lt;=24500000,320000,IF(($AI$8+R141)&lt;=25000000,160000,0))))))-$AI$10,0),-3)</x:f>
        <x:v>6635000</x:v>
      </x:c>
      <x:c r="T141" s="134" t="n">
        <x:f>ROUNDDOWN(MAX(IF(S141&lt;=1949000,S141*5%,IF(S141&lt;=3299000,S141*10%-97500,IF(S141&lt;=6949000,S141*20%-427500,IF(S141&lt;=8999000,S141*23%-636000,IF(S141&lt;=17999000,S141*33%-1536000,IF(S141&lt;=39999000,S141*40%-2796000,S141*45%-4796000)))))),0),-2)+ROUNDDOWN(ROUNDDOWN(MAX(IF(S141&lt;=1949000,S141*5%,IF(S141&lt;=3299000,S141*10%-97500,IF(S141&lt;=6949000,S141*20%-427500,IF(S141&lt;=8999000,S141*23%-636000,IF(S141&lt;=17999000,S141*33%-1536000,IF(S141&lt;=39999000,S141*40%-2796000,S141*45%-4796000)))))),0),-2)*2.1%,0)</x:f>
        <x:v>918389</x:v>
      </x:c>
      <x:c r="U141" s="134" t="n">
        <x:f>ROUNDDOWN(MAX(($AI$8+R141)-IF(($AI$8+R141)&lt;=24000000,430000,IF(($AI$8+R141)&lt;=24500000,290000,IF(($AI$8+R141)&lt;=25000000,150000,0)))-$AI$10,0),-3)</x:f>
        <x:v>6825000</x:v>
      </x:c>
      <x:c r="V141" s="134" t="n">
        <x:f>ROUNDDOWN(U141*10%,0)+5000</x:f>
        <x:v>687500</x:v>
      </x:c>
      <x:c r="W141" s="134" t="n">
        <x:f>IF($AI$20="OK",$AI$16-(T141+V141),0)</x:f>
        <x:v>0</x:v>
      </x:c>
      <x:c r="X141" s="134" t="n">
        <x:f>F141+W141</x:f>
        <x:v>-643859.1570477958</x:v>
      </x:c>
      <x:c r="Y141" s="134" t="n">
        <x:f>Y140+X141</x:f>
        <x:v>-18339761.232801627</x:v>
      </x:c>
      <x:c r="Z141" s="134" t="n">
        <x:f>MAX(Z140-M141,0)</x:f>
        <x:v>0</x:v>
      </x:c>
      <x:c r="AA141" s="134" t="n">
        <x:f>MAX(AA140-N141,0)</x:f>
        <x:v>0</x:v>
      </x:c>
      <x:c r="AB141" s="134" t="n">
        <x:f>MAX('診断'!$C$7-'診断'!$C$50,0)+Z141+AA141+'診断'!$C$57</x:f>
        <x:v>35000000</x:v>
      </x:c>
      <x:c r="AC141" s="134" t="n">
        <x:f>MAX(J141-AB141-(J141*'診断'!$C$24+'診断'!$C$25)-'診断'!$C$58,0)</x:f>
        <x:v>0</x:v>
      </x:c>
      <x:c r="AD141" s="134" t="n">
        <x:f>IF($AI$20&lt;&gt;"OK",0,AC141*IF(AG141="長期",15%+5%+15%*2.1%,30%+9%+30%*2.1%))</x:f>
        <x:v>0</x:v>
      </x:c>
      <x:c r="AE141" s="134" t="n">
        <x:f>J141-(J141*'診断'!$C$24+'診断'!$C$25)-I141-AD141</x:f>
        <x:v>22574989.469115917</x:v>
      </x:c>
      <x:c r="AF141" s="134" t="n">
        <x:f>Y141+AE141-MAX(0,'診断'!$C$7+'診断'!$C$8-'診断'!$C$9)</x:f>
        <x:v>3735228.2363142893</x:v>
      </x:c>
      <x:c r="AG141" s="406" t="str">
        <x:f>IF('診断'!$C$49&lt;DATE(YEAR('診断'!$C$49)+A141-1-5,1,1),"長期","短期")</x:f>
        <x:v>長期</x:v>
      </x:c>
    </x:row>
    <x:row r="142" ht="20" customHeight="1">
      <x:c r="A142" s="197" t="n">
        <x:v>35</x:v>
      </x:c>
      <x:c r="B142" s="242" t="n">
        <x:f>'診断'!$C$12*12*'診断'!$C$30*'診断'!$C$31*(1-'診断'!$C$19)^(A142-1)</x:f>
        <x:v>1249778.2116273353</x:v>
      </x:c>
      <x:c r="C142" s="242" t="n">
        <x:f>(('診断'!$C$13+'診断'!$C$14)*12+'診断'!$C$21+'診断'!$C$22+B142*'診断'!$C$15)*'診断'!$C$33+'診断'!$C$23*'診断'!$C$34</x:f>
        <x:v>512488.91058136674</x:v>
      </x:c>
      <x:c r="D142" s="242" t="n">
        <x:f>B142-C142</x:f>
        <x:v>737289.3010459685</x:v>
      </x:c>
      <x:c r="E142" s="242" t="n">
        <x:f>IF(A142&lt;='診断'!$C$11,-PMT('診断'!$C$32/12,'診断'!$C$11*12,'診断'!$C$9)*12,0)</x:f>
        <x:v>1387114.7359884677</x:v>
      </x:c>
      <x:c r="F142" s="242" t="n">
        <x:f>D142-E142</x:f>
        <x:v>-649825.4349424992</x:v>
      </x:c>
      <x:c r="G142" s="242" t="n">
        <x:f>G141+F142</x:f>
        <x:v>-18989586.667744126</x:v>
      </x:c>
      <x:c r="H142" s="242" t="n">
        <x:f>H141+MAX(0,-F142)</x:f>
        <x:v>18989586.667744126</x:v>
      </x:c>
      <x:c r="I142" s="242" t="n">
        <x:f>IF(A142&gt;='診断'!$C$11,0,MAX(0,-FV('診断'!$C$32/12,A142*12,PMT('診断'!$C$32/12,'診断'!$C$11*12,'診断'!$C$9),'診断'!$C$9)))</x:f>
        <x:v>0</x:v>
      </x:c>
      <x:c r="J142" s="242" t="n">
        <x:f>'診断'!$C$7*(1+'診断'!$C$35)^A142</x:f>
        <x:v>24620669.32498492</x:v>
      </x:c>
      <x:c r="K142" s="242" t="n">
        <x:f>J142*(1-'診断'!$C$24)-'診断'!$C$25-I142</x:f>
        <x:v>23708187.237260416</x:v>
      </x:c>
      <x:c r="L142" s="242" t="n">
        <x:f>MAX(E142-MAX(I141-I142,0),0)</x:f>
        <x:v>13430.228073656326</x:v>
      </x:c>
      <x:c r="M142" s="242" t="n">
        <x:f>IF(OR($AI$20&lt;&gt;"OK",A142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141-1,0)))</x:f>
        <x:v>0</x:v>
      </x:c>
      <x:c r="N142" s="242" t="n">
        <x:f>IF(OR($AI$20&lt;&gt;"OK",A142&gt;'診断'!$C$16),0,MIN('診断'!$C$50*(1-'診断'!$C$53)*ROUNDUP(1/MAX(2,ROUNDDOWN(IF('診断'!$C$52&gt;=15,15*20%,(15-'診断'!$C$52)+'診断'!$C$52*20%),0)),3)*(12)/12,MAX(AA141-1,0)))</x:f>
        <x:v>0</x:v>
      </x:c>
      <x:c r="O142" s="242" t="n">
        <x:f>M142+N142</x:f>
        <x:v>0</x:v>
      </x:c>
      <x:c r="P142" s="134" t="n">
        <x:f>B142-C142-L142-O142</x:f>
        <x:v>723859.0729723122</x:v>
      </x:c>
      <x:c r="Q142" s="134" t="n">
        <x:f>L142*IF('診断'!$C$9&gt;0,$AI$17/'診断'!$C$9,0)</x:f>
        <x:v>13057.166182721428</x:v>
      </x:c>
      <x:c r="R142" s="134" t="n">
        <x:f>IF(P142&gt;=0,P142,MIN(0,P142+Q142))</x:f>
        <x:v>723859.0729723122</x:v>
      </x:c>
      <x:c r="S142" s="134" t="n">
        <x:f>ROUNDDOWN(MAX(($AI$8+R142)-IF(($AI$8+R142)&lt;=4890000,1040000,IF(($AI$8+R142)&lt;=6550000,670000,IF(($AI$8+R142)&lt;=23500000,620000,IF(($AI$8+R142)&lt;=24000000,480000,IF(($AI$8+R142)&lt;=24500000,320000,IF(($AI$8+R142)&lt;=25000000,160000,0))))))-$AI$10,0),-3)</x:f>
        <x:v>6653000</x:v>
      </x:c>
      <x:c r="T142" s="134" t="n">
        <x:f>ROUNDDOWN(MAX(IF(S142&lt;=1949000,S142*5%,IF(S142&lt;=3299000,S142*10%-97500,IF(S142&lt;=6949000,S142*20%-427500,IF(S142&lt;=8999000,S142*23%-636000,IF(S142&lt;=17999000,S142*33%-1536000,IF(S142&lt;=39999000,S142*40%-2796000,S142*45%-4796000)))))),0),-2)+ROUNDDOWN(ROUNDDOWN(MAX(IF(S142&lt;=1949000,S142*5%,IF(S142&lt;=3299000,S142*10%-97500,IF(S142&lt;=6949000,S142*20%-427500,IF(S142&lt;=8999000,S142*23%-636000,IF(S142&lt;=17999000,S142*33%-1536000,IF(S142&lt;=39999000,S142*40%-2796000,S142*45%-4796000)))))),0),-2)*2.1%,0)</x:f>
        <x:v>922065</x:v>
      </x:c>
      <x:c r="U142" s="134" t="n">
        <x:f>ROUNDDOWN(MAX(($AI$8+R142)-IF(($AI$8+R142)&lt;=24000000,430000,IF(($AI$8+R142)&lt;=24500000,290000,IF(($AI$8+R142)&lt;=25000000,150000,0)))-$AI$10,0),-3)</x:f>
        <x:v>6843000</x:v>
      </x:c>
      <x:c r="V142" s="134" t="n">
        <x:f>ROUNDDOWN(U142*10%,0)+5000</x:f>
        <x:v>689300</x:v>
      </x:c>
      <x:c r="W142" s="134" t="n">
        <x:f>IF($AI$20="OK",$AI$16-(T142+V142),0)</x:f>
        <x:v>0</x:v>
      </x:c>
      <x:c r="X142" s="134" t="n">
        <x:f>F142+W142</x:f>
        <x:v>-649825.4349424992</x:v>
      </x:c>
      <x:c r="Y142" s="134" t="n">
        <x:f>Y141+X142</x:f>
        <x:v>-18989586.667744126</x:v>
      </x:c>
      <x:c r="Z142" s="134" t="n">
        <x:f>MAX(Z141-M142,0)</x:f>
        <x:v>0</x:v>
      </x:c>
      <x:c r="AA142" s="134" t="n">
        <x:f>MAX(AA141-N142,0)</x:f>
        <x:v>0</x:v>
      </x:c>
      <x:c r="AB142" s="134" t="n">
        <x:f>MAX('診断'!$C$7-'診断'!$C$50,0)+Z142+AA142+'診断'!$C$57</x:f>
        <x:v>35000000</x:v>
      </x:c>
      <x:c r="AC142" s="134" t="n">
        <x:f>MAX(J142-AB142-(J142*'診断'!$C$24+'診断'!$C$25)-'診断'!$C$58,0)</x:f>
        <x:v>0</x:v>
      </x:c>
      <x:c r="AD142" s="134" t="n">
        <x:f>IF($AI$20&lt;&gt;"OK",0,AC142*IF(AG142="長期",15%+5%+15%*2.1%,30%+9%+30%*2.1%))</x:f>
        <x:v>0</x:v>
      </x:c>
      <x:c r="AE142" s="134" t="n">
        <x:f>J142-(J142*'診断'!$C$24+'診断'!$C$25)-I142-AD142</x:f>
        <x:v>23708187.237260416</x:v>
      </x:c>
      <x:c r="AF142" s="134" t="n">
        <x:f>Y142+AE142-MAX(0,'診断'!$C$7+'診断'!$C$8-'診断'!$C$9)</x:f>
        <x:v>4218600.56951629</x:v>
      </x:c>
      <x:c r="AG142" s="406" t="str">
        <x:f>IF('診断'!$C$49&lt;DATE(YEAR('診断'!$C$49)+A142-1-5,1,1),"長期","短期")</x:f>
        <x:v>長期</x:v>
      </x:c>
    </x:row>
    <x:row r="143" ht="20" customHeight="1">
      <x:c r="A143" s="197"/>
      <x:c r="B143" s="197"/>
      <x:c r="C143" s="197"/>
      <x:c r="D143" s="197"/>
      <x:c r="E143" s="197"/>
      <x:c r="F143" s="197"/>
      <x:c r="G143" s="197"/>
      <x:c r="H143" s="197"/>
      <x:c r="I143" s="197"/>
      <x:c r="J143" s="197"/>
      <x:c r="K143" s="197"/>
      <x:c r="L143" s="197"/>
      <x:c r="M143" s="197"/>
      <x:c r="N143" s="197"/>
      <x:c r="O143" s="197"/>
    </x:row>
    <x:row r="144" ht="20" customHeight="1">
      <x:c r="A144" s="197"/>
      <x:c r="B144" s="197"/>
      <x:c r="C144" s="197"/>
      <x:c r="D144" s="197"/>
      <x:c r="E144" s="197"/>
      <x:c r="F144" s="197"/>
      <x:c r="G144" s="197"/>
      <x:c r="H144" s="197"/>
      <x:c r="I144" s="197"/>
      <x:c r="J144" s="197"/>
      <x:c r="K144" s="197"/>
      <x:c r="L144" s="197"/>
      <x:c r="M144" s="197"/>
      <x:c r="N144" s="197"/>
      <x:c r="O144" s="197"/>
    </x:row>
    <x:row r="145" ht="20" customHeight="1">
      <x:c r="A145" s="197"/>
      <x:c r="B145" s="197"/>
      <x:c r="C145" s="197"/>
      <x:c r="D145" s="197"/>
      <x:c r="E145" s="197"/>
      <x:c r="F145" s="197"/>
      <x:c r="G145" s="197"/>
      <x:c r="H145" s="197"/>
      <x:c r="I145" s="197"/>
      <x:c r="J145" s="197"/>
      <x:c r="K145" s="197"/>
      <x:c r="L145" s="197"/>
      <x:c r="M145" s="197"/>
      <x:c r="N145" s="197"/>
      <x:c r="O145" s="197"/>
    </x:row>
    <x:row r="146" ht="20" customHeight="1">
      <x:c r="A146" s="278" t="str">
        <x:v>高位｜計算監査用</x:v>
      </x:c>
      <x:c r="B146" s="278"/>
      <x:c r="C146" s="278"/>
      <x:c r="D146" s="278"/>
      <x:c r="E146" s="278"/>
      <x:c r="F146" s="278"/>
      <x:c r="G146" s="278"/>
      <x:c r="H146" s="278"/>
      <x:c r="I146" s="278"/>
      <x:c r="J146" s="278"/>
      <x:c r="K146" s="278"/>
      <x:c r="L146" s="197"/>
      <x:c r="M146" s="197"/>
      <x:c r="N146" s="197"/>
      <x:c r="O146" s="197"/>
    </x:row>
    <x:row r="147" ht="20" customHeight="1">
      <x:c r="A147" s="279" t="str">
        <x:v>年</x:v>
      </x:c>
      <x:c r="B147" s="279" t="str">
        <x:v>実効家賃</x:v>
      </x:c>
      <x:c r="C147" s="279" t="str">
        <x:v>運営費</x:v>
      </x:c>
      <x:c r="D147" s="279" t="str">
        <x:v>NOI</x:v>
      </x:c>
      <x:c r="E147" s="279" t="str">
        <x:v>返済額</x:v>
      </x:c>
      <x:c r="F147" s="279" t="str">
        <x:v>年間CF</x:v>
      </x:c>
      <x:c r="G147" s="279" t="str">
        <x:v>累積CF</x:v>
      </x:c>
      <x:c r="H147" s="279" t="str">
        <x:v>追加投入現金</x:v>
      </x:c>
      <x:c r="I147" s="279" t="str">
        <x:v>残債</x:v>
      </x:c>
      <x:c r="J147" s="279" t="str">
        <x:v>推定売却価格</x:v>
      </x:c>
      <x:c r="K147" s="279" t="str">
        <x:v>売却後手取り</x:v>
      </x:c>
      <x:c r="L147" s="197" t="str">
        <x:v>支払利息</x:v>
      </x:c>
      <x:c r="M147" s="197" t="str">
        <x:v>躯体償却</x:v>
      </x:c>
      <x:c r="N147" s="197" t="str">
        <x:v>設備償却</x:v>
      </x:c>
      <x:c r="O147" s="197" t="str">
        <x:v>減価償却</x:v>
      </x:c>
      <x:c r="P147" t="str">
        <x:v>不動産所得</x:v>
      </x:c>
      <x:c r="Q147" t="str">
        <x:v>土地取得利息</x:v>
      </x:c>
      <x:c r="R147" t="str">
        <x:v>損益通算反映額</x:v>
      </x:c>
      <x:c r="S147" t="str">
        <x:v>所得税課税所得</x:v>
      </x:c>
      <x:c r="T147" t="str">
        <x:v>所得税等</x:v>
      </x:c>
      <x:c r="U147" t="str">
        <x:v>住民税課税所得</x:v>
      </x:c>
      <x:c r="V147" t="str">
        <x:v>住民税</x:v>
      </x:c>
      <x:c r="W147" t="str">
        <x:v>税効果</x:v>
      </x:c>
      <x:c r="X147" t="str">
        <x:v>税引後CF</x:v>
      </x:c>
      <x:c r="Y147" t="str">
        <x:v>税引後累積CF</x:v>
      </x:c>
      <x:c r="Z147" t="str">
        <x:v>躯体簿価</x:v>
      </x:c>
      <x:c r="AA147" t="str">
        <x:v>設備簿価</x:v>
      </x:c>
      <x:c r="AB147" t="str">
        <x:v>売却時取得費</x:v>
      </x:c>
      <x:c r="AC147" t="str">
        <x:v>課税譲渡所得</x:v>
      </x:c>
      <x:c r="AD147" t="str">
        <x:v>譲渡所得税</x:v>
      </x:c>
      <x:c r="AE147" t="str">
        <x:v>売却手取り（税後）</x:v>
      </x:c>
      <x:c r="AF147" t="str">
        <x:v>最終損益（税後）</x:v>
      </x:c>
      <x:c r="AG147" t="str">
        <x:v>長期・短期</x:v>
      </x:c>
    </x:row>
    <x:row r="148" ht="20" customHeight="1">
      <x:c r="A148" s="197" t="n">
        <x:v>1</x:v>
      </x:c>
      <x:c r="B148" s="242" t="n">
        <x:f>'診断'!$C$12*12*'診断'!$D$30*'診断'!$D$31*(1-'診断'!$C$19)^(A148-1)</x:f>
        <x:v>1482000</x:v>
      </x:c>
      <x:c r="C148" s="242" t="n">
        <x:f>(('診断'!$C$13+'診断'!$C$14)*12+'診断'!$C$21+'診断'!$C$22+B148*'診断'!$C$15)*'診断'!$D$33+'診断'!$C$23*'診断'!$D$34</x:f>
        <x:v>524100</x:v>
      </x:c>
      <x:c r="D148" s="242" t="n">
        <x:f>B148-C148</x:f>
        <x:v>957900</x:v>
      </x:c>
      <x:c r="E148" s="242" t="n">
        <x:f>IF(A148&lt;='診断'!$C$11,-PMT('診断'!$D$32/12,'診断'!$C$11*12,'診断'!$C$9)*12,0)</x:f>
        <x:v>1387114.7359884677</x:v>
      </x:c>
      <x:c r="F148" s="242" t="n">
        <x:f>D148-E148</x:f>
        <x:v>-429214.7359884677</x:v>
      </x:c>
      <x:c r="G148" s="242" t="n">
        <x:f>F148</x:f>
        <x:v>-429214.7359884677</x:v>
      </x:c>
      <x:c r="H148" s="242" t="n">
        <x:f>MAX(0,-F148)</x:f>
        <x:v>429214.7359884677</x:v>
      </x:c>
      <x:c r="I148" s="242" t="n">
        <x:f>IF(A148&gt;='診断'!$C$11,0,MAX(0,-FV('診断'!$D$32/12,A148*12,PMT('診断'!$D$32/12,'診断'!$C$11*12,'診断'!$C$9),'診断'!$C$9)))</x:f>
        <x:v>35254756.97581072</x:v>
      </x:c>
      <x:c r="J148" s="242" t="n">
        <x:f>'診断'!$C$7*(1+'診断'!$D$35)^A148</x:f>
        <x:v>34650000</x:v>
      </x:c>
      <x:c r="K148" s="242" t="n">
        <x:f>J148*(1-'診断'!$C$24)-'診断'!$C$25-I148</x:f>
        <x:v>-1848206.9758107215</x:v>
      </x:c>
      <x:c r="L148" s="242" t="n">
        <x:f>MAX(E148-MAX('診断'!$C$9-I148,0),0)</x:f>
        <x:v>641871.7117991892</x:v>
      </x:c>
      <x:c r="M148" s="242" t="n">
        <x:f>IF(OR($AI$20&lt;&gt;"OK",A148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(13-MONTH('診断'!$C$49))/12,MAX('診断'!$C$50*'診断'!$C$53-1,0)))</x:f>
        <x:v>0</x:v>
      </x:c>
      <x:c r="N148" s="242" t="n">
        <x:f>IF(OR($AI$20&lt;&gt;"OK",A148&gt;'診断'!$C$16),0,MIN('診断'!$C$50*(1-'診断'!$C$53)*ROUNDUP(1/MAX(2,ROUNDDOWN(IF('診断'!$C$52&gt;=15,15*20%,(15-'診断'!$C$52)+'診断'!$C$52*20%),0)),3)*(13-MONTH('診断'!$C$49))/12,MAX('診断'!$C$50*(1-'診断'!$C$53)-1,0)))</x:f>
        <x:v>0</x:v>
      </x:c>
      <x:c r="O148" s="242" t="n">
        <x:f>M148+N148</x:f>
        <x:v>0</x:v>
      </x:c>
      <x:c r="P148" s="134" t="n">
        <x:f>B148-C148-L148-O148</x:f>
        <x:v>316028.2882008108</x:v>
      </x:c>
      <x:c r="Q148" s="134" t="n">
        <x:f>L148*IF('診断'!$C$9&gt;0,$AI$17/'診断'!$C$9,0)</x:f>
        <x:v>624041.9420269895</x:v>
      </x:c>
      <x:c r="R148" s="134" t="n">
        <x:f>IF(P148&gt;=0,P148,MIN(0,P148+Q148))</x:f>
        <x:v>316028.2882008108</x:v>
      </x:c>
      <x:c r="S148" s="134" t="n">
        <x:f>ROUNDDOWN(MAX(($AI$8+R148)-IF(($AI$8+R148)&lt;=4890000,1040000,IF(($AI$8+R148)&lt;=6550000,670000,IF(($AI$8+R148)&lt;=23500000,620000,IF(($AI$8+R148)&lt;=24000000,480000,IF(($AI$8+R148)&lt;=24500000,320000,IF(($AI$8+R148)&lt;=25000000,160000,0))))))-$AI$10,0),-3)</x:f>
        <x:v>6246000</x:v>
      </x:c>
      <x:c r="T148" s="134" t="n">
        <x:f>ROUNDDOWN(MAX(IF(S148&lt;=1949000,S148*5%,IF(S148&lt;=3299000,S148*10%-97500,IF(S148&lt;=6949000,S148*20%-427500,IF(S148&lt;=8999000,S148*23%-636000,IF(S148&lt;=17999000,S148*33%-1536000,IF(S148&lt;=39999000,S148*40%-2796000,S148*45%-4796000)))))),0),-2)+ROUNDDOWN(ROUNDDOWN(MAX(IF(S148&lt;=1949000,S148*5%,IF(S148&lt;=3299000,S148*10%-97500,IF(S148&lt;=6949000,S148*20%-427500,IF(S148&lt;=8999000,S148*23%-636000,IF(S148&lt;=17999000,S148*33%-1536000,IF(S148&lt;=39999000,S148*40%-2796000,S148*45%-4796000)))))),0),-2)*2.1%,0)</x:f>
        <x:v>838955</x:v>
      </x:c>
      <x:c r="U148" s="134" t="n">
        <x:f>ROUNDDOWN(MAX(($AI$8+R148)-IF(($AI$8+R148)&lt;=24000000,430000,IF(($AI$8+R148)&lt;=24500000,290000,IF(($AI$8+R148)&lt;=25000000,150000,0)))-$AI$10,0),-3)</x:f>
        <x:v>6436000</x:v>
      </x:c>
      <x:c r="V148" s="134" t="n">
        <x:f>ROUNDDOWN(U148*10%,0)+5000</x:f>
        <x:v>648600</x:v>
      </x:c>
      <x:c r="W148" s="134" t="n">
        <x:f>IF($AI$20="OK",$AI$16-(T148+V148),0)</x:f>
        <x:v>0</x:v>
      </x:c>
      <x:c r="X148" s="134" t="n">
        <x:f>F148+W148</x:f>
        <x:v>-429214.7359884677</x:v>
      </x:c>
      <x:c r="Y148" s="134" t="n">
        <x:f>X148</x:f>
        <x:v>-429214.7359884677</x:v>
      </x:c>
      <x:c r="Z148" s="134" t="n">
        <x:f>MAX('診断'!$C$50*'診断'!$C$53-M148,0)</x:f>
        <x:v>0</x:v>
      </x:c>
      <x:c r="AA148" s="134" t="n">
        <x:f>MAX('診断'!$C$50*(1-'診断'!$C$53)-N148,0)</x:f>
        <x:v>0</x:v>
      </x:c>
      <x:c r="AB148" s="134" t="n">
        <x:f>MAX('診断'!$C$7-'診断'!$C$50,0)+Z148+AA148+'診断'!$C$57</x:f>
        <x:v>35000000</x:v>
      </x:c>
      <x:c r="AC148" s="134" t="n">
        <x:f>MAX(J148-AB148-(J148*'診断'!$C$24+'診断'!$C$25)-'診断'!$C$58,0)</x:f>
        <x:v>0</x:v>
      </x:c>
      <x:c r="AD148" s="134" t="n">
        <x:f>IF($AI$20&lt;&gt;"OK",0,AC148*IF(AG148="長期",15%+5%+15%*2.1%,30%+9%+30%*2.1%))</x:f>
        <x:v>0</x:v>
      </x:c>
      <x:c r="AE148" s="134" t="n">
        <x:f>J148-(J148*'診断'!$C$24+'診断'!$C$25)-I148-AD148</x:f>
        <x:v>-1848206.9758107215</x:v>
      </x:c>
      <x:c r="AF148" s="134" t="n">
        <x:f>Y148+AE148-MAX(0,'診断'!$C$7+'診断'!$C$8-'診断'!$C$9)</x:f>
        <x:v>-2777421.7117991894</x:v>
      </x:c>
      <x:c r="AG148" s="406" t="str">
        <x:f>IF('診断'!$C$49&lt;DATE(YEAR('診断'!$C$49)+A148-1-5,1,1),"長期","短期")</x:f>
        <x:v>短期</x:v>
      </x:c>
    </x:row>
    <x:row r="149" ht="20" customHeight="1">
      <x:c r="A149" s="197" t="n">
        <x:v>2</x:v>
      </x:c>
      <x:c r="B149" s="242" t="n">
        <x:f>'診断'!$C$12*12*'診断'!$D$30*'診断'!$D$31*(1-'診断'!$C$19)^(A149-1)</x:f>
        <x:v>1474590</x:v>
      </x:c>
      <x:c r="C149" s="242" t="n">
        <x:f>(('診断'!$C$13+'診断'!$C$14)*12+'診断'!$C$21+'診断'!$C$22+B149*'診断'!$C$15)*'診断'!$D$33+'診断'!$C$23*'診断'!$D$34</x:f>
        <x:v>523729.5</x:v>
      </x:c>
      <x:c r="D149" s="242" t="n">
        <x:f>B149-C149</x:f>
        <x:v>950860.5</x:v>
      </x:c>
      <x:c r="E149" s="242" t="n">
        <x:f>IF(A149&lt;='診断'!$C$11,-PMT('診断'!$D$32/12,'診断'!$C$11*12,'診断'!$C$9)*12,0)</x:f>
        <x:v>1387114.7359884677</x:v>
      </x:c>
      <x:c r="F149" s="242" t="n">
        <x:f>D149-E149</x:f>
        <x:v>-436254.2359884677</x:v>
      </x:c>
      <x:c r="G149" s="242" t="n">
        <x:f>G148+F149</x:f>
        <x:v>-865468.9719769354</x:v>
      </x:c>
      <x:c r="H149" s="242" t="n">
        <x:f>H148+MAX(0,-F149)</x:f>
        <x:v>865468.9719769354</x:v>
      </x:c>
      <x:c r="I149" s="242" t="n">
        <x:f>IF(A149&gt;='診断'!$C$11,0,MAX(0,-FV('診断'!$D$32/12,A149*12,PMT('診断'!$D$32/12,'診断'!$C$11*12,'診断'!$C$9),'診断'!$C$9)))</x:f>
        <x:v>34495988.35338197</x:v>
      </x:c>
      <x:c r="J149" s="242" t="n">
        <x:f>'診断'!$C$7*(1+'診断'!$D$35)^A149</x:f>
        <x:v>34303500</x:v>
      </x:c>
      <x:c r="K149" s="242" t="n">
        <x:f>J149*(1-'診断'!$C$24)-'診断'!$C$25-I149</x:f>
        <x:v>-1424503.853381969</x:v>
      </x:c>
      <x:c r="L149" s="242" t="n">
        <x:f>MAX(E149-MAX(I148-I149,0),0)</x:f>
        <x:v>628346.1135597152</x:v>
      </x:c>
      <x:c r="M149" s="242" t="n">
        <x:f>IF(OR($AI$20&lt;&gt;"OK",A149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148-1,0)))</x:f>
        <x:v>0</x:v>
      </x:c>
      <x:c r="N149" s="242" t="n">
        <x:f>IF(OR($AI$20&lt;&gt;"OK",A149&gt;'診断'!$C$16),0,MIN('診断'!$C$50*(1-'診断'!$C$53)*ROUNDUP(1/MAX(2,ROUNDDOWN(IF('診断'!$C$52&gt;=15,15*20%,(15-'診断'!$C$52)+'診断'!$C$52*20%),0)),3)*(12)/12,MAX(AA148-1,0)))</x:f>
        <x:v>0</x:v>
      </x:c>
      <x:c r="O149" s="242" t="n">
        <x:f>M149+N149</x:f>
        <x:v>0</x:v>
      </x:c>
      <x:c r="P149" s="134" t="n">
        <x:f>B149-C149-L149-O149</x:f>
        <x:v>322514.3864402848</x:v>
      </x:c>
      <x:c r="Q149" s="134" t="n">
        <x:f>L149*IF('診断'!$C$9&gt;0,$AI$17/'診断'!$C$9,0)</x:f>
        <x:v>610892.0548497231</x:v>
      </x:c>
      <x:c r="R149" s="134" t="n">
        <x:f>IF(P149&gt;=0,P149,MIN(0,P149+Q149))</x:f>
        <x:v>322514.3864402848</x:v>
      </x:c>
      <x:c r="S149" s="134" t="n">
        <x:f>ROUNDDOWN(MAX(($AI$8+R149)-IF(($AI$8+R149)&lt;=4890000,1040000,IF(($AI$8+R149)&lt;=6550000,670000,IF(($AI$8+R149)&lt;=23500000,620000,IF(($AI$8+R149)&lt;=24000000,480000,IF(($AI$8+R149)&lt;=24500000,320000,IF(($AI$8+R149)&lt;=25000000,160000,0))))))-$AI$10,0),-3)</x:f>
        <x:v>6252000</x:v>
      </x:c>
      <x:c r="T149" s="134" t="n">
        <x:f>ROUNDDOWN(MAX(IF(S149&lt;=1949000,S149*5%,IF(S149&lt;=3299000,S149*10%-97500,IF(S149&lt;=6949000,S149*20%-427500,IF(S149&lt;=8999000,S149*23%-636000,IF(S149&lt;=17999000,S149*33%-1536000,IF(S149&lt;=39999000,S149*40%-2796000,S149*45%-4796000)))))),0),-2)+ROUNDDOWN(ROUNDDOWN(MAX(IF(S149&lt;=1949000,S149*5%,IF(S149&lt;=3299000,S149*10%-97500,IF(S149&lt;=6949000,S149*20%-427500,IF(S149&lt;=8999000,S149*23%-636000,IF(S149&lt;=17999000,S149*33%-1536000,IF(S149&lt;=39999000,S149*40%-2796000,S149*45%-4796000)))))),0),-2)*2.1%,0)</x:f>
        <x:v>840180</x:v>
      </x:c>
      <x:c r="U149" s="134" t="n">
        <x:f>ROUNDDOWN(MAX(($AI$8+R149)-IF(($AI$8+R149)&lt;=24000000,430000,IF(($AI$8+R149)&lt;=24500000,290000,IF(($AI$8+R149)&lt;=25000000,150000,0)))-$AI$10,0),-3)</x:f>
        <x:v>6442000</x:v>
      </x:c>
      <x:c r="V149" s="134" t="n">
        <x:f>ROUNDDOWN(U149*10%,0)+5000</x:f>
        <x:v>649200</x:v>
      </x:c>
      <x:c r="W149" s="134" t="n">
        <x:f>IF($AI$20="OK",$AI$16-(T149+V149),0)</x:f>
        <x:v>0</x:v>
      </x:c>
      <x:c r="X149" s="134" t="n">
        <x:f>F149+W149</x:f>
        <x:v>-436254.2359884677</x:v>
      </x:c>
      <x:c r="Y149" s="134" t="n">
        <x:f>Y148+X149</x:f>
        <x:v>-865468.9719769354</x:v>
      </x:c>
      <x:c r="Z149" s="134" t="n">
        <x:f>MAX(Z148-M149,0)</x:f>
        <x:v>0</x:v>
      </x:c>
      <x:c r="AA149" s="134" t="n">
        <x:f>MAX(AA148-N149,0)</x:f>
        <x:v>0</x:v>
      </x:c>
      <x:c r="AB149" s="134" t="n">
        <x:f>MAX('診断'!$C$7-'診断'!$C$50,0)+Z149+AA149+'診断'!$C$57</x:f>
        <x:v>35000000</x:v>
      </x:c>
      <x:c r="AC149" s="134" t="n">
        <x:f>MAX(J149-AB149-(J149*'診断'!$C$24+'診断'!$C$25)-'診断'!$C$58,0)</x:f>
        <x:v>0</x:v>
      </x:c>
      <x:c r="AD149" s="134" t="n">
        <x:f>IF($AI$20&lt;&gt;"OK",0,AC149*IF(AG149="長期",15%+5%+15%*2.1%,30%+9%+30%*2.1%))</x:f>
        <x:v>0</x:v>
      </x:c>
      <x:c r="AE149" s="134" t="n">
        <x:f>J149-(J149*'診断'!$C$24+'診断'!$C$25)-I149-AD149</x:f>
        <x:v>-1424503.853381969</x:v>
      </x:c>
      <x:c r="AF149" s="134" t="n">
        <x:f>Y149+AE149-MAX(0,'診断'!$C$7+'診断'!$C$8-'診断'!$C$9)</x:f>
        <x:v>-2789972.8253589044</x:v>
      </x:c>
      <x:c r="AG149" s="406" t="str">
        <x:f>IF('診断'!$C$49&lt;DATE(YEAR('診断'!$C$49)+A149-1-5,1,1),"長期","短期")</x:f>
        <x:v>短期</x:v>
      </x:c>
    </x:row>
    <x:row r="150" ht="20" customHeight="1">
      <x:c r="A150" s="197" t="n">
        <x:v>3</x:v>
      </x:c>
      <x:c r="B150" s="242" t="n">
        <x:f>'診断'!$C$12*12*'診断'!$D$30*'診断'!$D$31*(1-'診断'!$C$19)^(A150-1)</x:f>
        <x:v>1467217.05</x:v>
      </x:c>
      <x:c r="C150" s="242" t="n">
        <x:f>(('診断'!$C$13+'診断'!$C$14)*12+'診断'!$C$21+'診断'!$C$22+B150*'診断'!$C$15)*'診断'!$D$33+'診断'!$C$23*'診断'!$D$34</x:f>
        <x:v>523360.85250000004</x:v>
      </x:c>
      <x:c r="D150" s="242" t="n">
        <x:f>B150-C150</x:f>
        <x:v>943856.1975</x:v>
      </x:c>
      <x:c r="E150" s="242" t="n">
        <x:f>IF(A150&lt;='診断'!$C$11,-PMT('診断'!$D$32/12,'診断'!$C$11*12,'診断'!$C$9)*12,0)</x:f>
        <x:v>1387114.7359884677</x:v>
      </x:c>
      <x:c r="F150" s="242" t="n">
        <x:f>D150-E150</x:f>
        <x:v>-443258.5384884677</x:v>
      </x:c>
      <x:c r="G150" s="242" t="n">
        <x:f>G149+F150</x:f>
        <x:v>-1308727.510465403</x:v>
      </x:c>
      <x:c r="H150" s="242" t="n">
        <x:f>H149+MAX(0,-F150)</x:f>
        <x:v>1308727.510465403</x:v>
      </x:c>
      <x:c r="I150" s="242" t="n">
        <x:f>IF(A150&gt;='診断'!$C$11,0,MAX(0,-FV('診断'!$D$32/12,A150*12,PMT('診断'!$D$32/12,'診断'!$C$11*12,'診断'!$C$9),'診断'!$C$9)))</x:f>
        <x:v>33723448.65331738</x:v>
      </x:c>
      <x:c r="J150" s="242" t="n">
        <x:f>'診断'!$C$7*(1+'診断'!$D$35)^A150</x:f>
        <x:v>33960465</x:v>
      </x:c>
      <x:c r="K150" s="242" t="n">
        <x:f>J150*(1-'診断'!$C$24)-'診断'!$C$25-I150</x:f>
        <x:v>-983678.9983173795</x:v>
      </x:c>
      <x:c r="L150" s="242" t="n">
        <x:f>MAX(E150-MAX(I149-I150,0),0)</x:f>
        <x:v>614575.0359238756</x:v>
      </x:c>
      <x:c r="M150" s="242" t="n">
        <x:f>IF(OR($AI$20&lt;&gt;"OK",A150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149-1,0)))</x:f>
        <x:v>0</x:v>
      </x:c>
      <x:c r="N150" s="242" t="n">
        <x:f>IF(OR($AI$20&lt;&gt;"OK",A150&gt;'診断'!$C$16),0,MIN('診断'!$C$50*(1-'診断'!$C$53)*ROUNDUP(1/MAX(2,ROUNDDOWN(IF('診断'!$C$52&gt;=15,15*20%,(15-'診断'!$C$52)+'診断'!$C$52*20%),0)),3)*(12)/12,MAX(AA149-1,0)))</x:f>
        <x:v>0</x:v>
      </x:c>
      <x:c r="O150" s="242" t="n">
        <x:f>M150+N150</x:f>
        <x:v>0</x:v>
      </x:c>
      <x:c r="P150" s="134" t="n">
        <x:f>B150-C150-L150-O150</x:f>
        <x:v>329281.1615761244</x:v>
      </x:c>
      <x:c r="Q150" s="134" t="n">
        <x:f>L150*IF('診断'!$C$9&gt;0,$AI$17/'診断'!$C$9,0)</x:f>
        <x:v>597503.5071482124</x:v>
      </x:c>
      <x:c r="R150" s="134" t="n">
        <x:f>IF(P150&gt;=0,P150,MIN(0,P150+Q150))</x:f>
        <x:v>329281.1615761244</x:v>
      </x:c>
      <x:c r="S150" s="134" t="n">
        <x:f>ROUNDDOWN(MAX(($AI$8+R150)-IF(($AI$8+R150)&lt;=4890000,1040000,IF(($AI$8+R150)&lt;=6550000,670000,IF(($AI$8+R150)&lt;=23500000,620000,IF(($AI$8+R150)&lt;=24000000,480000,IF(($AI$8+R150)&lt;=24500000,320000,IF(($AI$8+R150)&lt;=25000000,160000,0))))))-$AI$10,0),-3)</x:f>
        <x:v>6259000</x:v>
      </x:c>
      <x:c r="T150" s="134" t="n">
        <x:f>ROUNDDOWN(MAX(IF(S150&lt;=1949000,S150*5%,IF(S150&lt;=3299000,S150*10%-97500,IF(S150&lt;=6949000,S150*20%-427500,IF(S150&lt;=8999000,S150*23%-636000,IF(S150&lt;=17999000,S150*33%-1536000,IF(S150&lt;=39999000,S150*40%-2796000,S150*45%-4796000)))))),0),-2)+ROUNDDOWN(ROUNDDOWN(MAX(IF(S150&lt;=1949000,S150*5%,IF(S150&lt;=3299000,S150*10%-97500,IF(S150&lt;=6949000,S150*20%-427500,IF(S150&lt;=8999000,S150*23%-636000,IF(S150&lt;=17999000,S150*33%-1536000,IF(S150&lt;=39999000,S150*40%-2796000,S150*45%-4796000)))))),0),-2)*2.1%,0)</x:f>
        <x:v>841610</x:v>
      </x:c>
      <x:c r="U150" s="134" t="n">
        <x:f>ROUNDDOWN(MAX(($AI$8+R150)-IF(($AI$8+R150)&lt;=24000000,430000,IF(($AI$8+R150)&lt;=24500000,290000,IF(($AI$8+R150)&lt;=25000000,150000,0)))-$AI$10,0),-3)</x:f>
        <x:v>6449000</x:v>
      </x:c>
      <x:c r="V150" s="134" t="n">
        <x:f>ROUNDDOWN(U150*10%,0)+5000</x:f>
        <x:v>649900</x:v>
      </x:c>
      <x:c r="W150" s="134" t="n">
        <x:f>IF($AI$20="OK",$AI$16-(T150+V150),0)</x:f>
        <x:v>0</x:v>
      </x:c>
      <x:c r="X150" s="134" t="n">
        <x:f>F150+W150</x:f>
        <x:v>-443258.5384884677</x:v>
      </x:c>
      <x:c r="Y150" s="134" t="n">
        <x:f>Y149+X150</x:f>
        <x:v>-1308727.510465403</x:v>
      </x:c>
      <x:c r="Z150" s="134" t="n">
        <x:f>MAX(Z149-M150,0)</x:f>
        <x:v>0</x:v>
      </x:c>
      <x:c r="AA150" s="134" t="n">
        <x:f>MAX(AA149-N150,0)</x:f>
        <x:v>0</x:v>
      </x:c>
      <x:c r="AB150" s="134" t="n">
        <x:f>MAX('診断'!$C$7-'診断'!$C$50,0)+Z150+AA150+'診断'!$C$57</x:f>
        <x:v>35000000</x:v>
      </x:c>
      <x:c r="AC150" s="134" t="n">
        <x:f>MAX(J150-AB150-(J150*'診断'!$C$24+'診断'!$C$25)-'診断'!$C$58,0)</x:f>
        <x:v>0</x:v>
      </x:c>
      <x:c r="AD150" s="134" t="n">
        <x:f>IF($AI$20&lt;&gt;"OK",0,AC150*IF(AG150="長期",15%+5%+15%*2.1%,30%+9%+30%*2.1%))</x:f>
        <x:v>0</x:v>
      </x:c>
      <x:c r="AE150" s="134" t="n">
        <x:f>J150-(J150*'診断'!$C$24+'診断'!$C$25)-I150-AD150</x:f>
        <x:v>-983678.9983173758</x:v>
      </x:c>
      <x:c r="AF150" s="134" t="n">
        <x:f>Y150+AE150-MAX(0,'診断'!$C$7+'診断'!$C$8-'診断'!$C$9)</x:f>
        <x:v>-2792406.508782779</x:v>
      </x:c>
      <x:c r="AG150" s="406" t="str">
        <x:f>IF('診断'!$C$49&lt;DATE(YEAR('診断'!$C$49)+A150-1-5,1,1),"長期","短期")</x:f>
        <x:v>短期</x:v>
      </x:c>
    </x:row>
    <x:row r="151" ht="20" customHeight="1">
      <x:c r="A151" s="197" t="n">
        <x:v>4</x:v>
      </x:c>
      <x:c r="B151" s="242" t="n">
        <x:f>'診断'!$C$12*12*'診断'!$D$30*'診断'!$D$31*(1-'診断'!$C$19)^(A151-1)</x:f>
        <x:v>1459880.96475</x:v>
      </x:c>
      <x:c r="C151" s="242" t="n">
        <x:f>(('診断'!$C$13+'診断'!$C$14)*12+'診断'!$C$21+'診断'!$C$22+B151*'診断'!$C$15)*'診断'!$D$33+'診断'!$C$23*'診断'!$D$34</x:f>
        <x:v>522994.0482375</x:v>
      </x:c>
      <x:c r="D151" s="242" t="n">
        <x:f>B151-C151</x:f>
        <x:v>936886.9165125</x:v>
      </x:c>
      <x:c r="E151" s="242" t="n">
        <x:f>IF(A151&lt;='診断'!$C$11,-PMT('診断'!$D$32/12,'診断'!$C$11*12,'診断'!$C$9)*12,0)</x:f>
        <x:v>1387114.7359884677</x:v>
      </x:c>
      <x:c r="F151" s="242" t="n">
        <x:f>D151-E151</x:f>
        <x:v>-450227.81947596767</x:v>
      </x:c>
      <x:c r="G151" s="242" t="n">
        <x:f>G150+F151</x:f>
        <x:v>-1758955.3299413708</x:v>
      </x:c>
      <x:c r="H151" s="242" t="n">
        <x:f>H150+MAX(0,-F151)</x:f>
        <x:v>1758955.3299413708</x:v>
      </x:c>
      <x:c r="I151" s="242" t="n">
        <x:f>IF(A151&gt;='診断'!$C$11,0,MAX(0,-FV('診断'!$D$32/12,A151*12,PMT('診断'!$D$32/12,'診断'!$C$11*12,'診断'!$C$9),'診断'!$C$9)))</x:f>
        <x:v>32936887.940954838</x:v>
      </x:c>
      <x:c r="J151" s="242" t="n">
        <x:f>'診断'!$C$7*(1+'診断'!$D$35)^A151</x:f>
        <x:v>33620860.35</x:v>
      </x:c>
      <x:c r="K151" s="242" t="n">
        <x:f>J151*(1-'診断'!$C$24)-'診断'!$C$25-I151</x:f>
        <x:v>-525515.9825048372</x:v>
      </x:c>
      <x:c r="L151" s="242" t="n">
        <x:f>MAX(E151-MAX(I150-I151,0),0)</x:f>
        <x:v>600554.0236259287</x:v>
      </x:c>
      <x:c r="M151" s="242" t="n">
        <x:f>IF(OR($AI$20&lt;&gt;"OK",A151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150-1,0)))</x:f>
        <x:v>0</x:v>
      </x:c>
      <x:c r="N151" s="242" t="n">
        <x:f>IF(OR($AI$20&lt;&gt;"OK",A151&gt;'診断'!$C$16),0,MIN('診断'!$C$50*(1-'診断'!$C$53)*ROUNDUP(1/MAX(2,ROUNDDOWN(IF('診断'!$C$52&gt;=15,15*20%,(15-'診断'!$C$52)+'診断'!$C$52*20%),0)),3)*(12)/12,MAX(AA150-1,0)))</x:f>
        <x:v>0</x:v>
      </x:c>
      <x:c r="O151" s="242" t="n">
        <x:f>M151+N151</x:f>
        <x:v>0</x:v>
      </x:c>
      <x:c r="P151" s="134" t="n">
        <x:f>B151-C151-L151-O151</x:f>
        <x:v>336332.89288657135</x:v>
      </x:c>
      <x:c r="Q151" s="134" t="n">
        <x:f>L151*IF('診断'!$C$9&gt;0,$AI$17/'診断'!$C$9,0)</x:f>
        <x:v>583871.9674140973</x:v>
      </x:c>
      <x:c r="R151" s="134" t="n">
        <x:f>IF(P151&gt;=0,P151,MIN(0,P151+Q151))</x:f>
        <x:v>336332.89288657135</x:v>
      </x:c>
      <x:c r="S151" s="134" t="n">
        <x:f>ROUNDDOWN(MAX(($AI$8+R151)-IF(($AI$8+R151)&lt;=4890000,1040000,IF(($AI$8+R151)&lt;=6550000,670000,IF(($AI$8+R151)&lt;=23500000,620000,IF(($AI$8+R151)&lt;=24000000,480000,IF(($AI$8+R151)&lt;=24500000,320000,IF(($AI$8+R151)&lt;=25000000,160000,0))))))-$AI$10,0),-3)</x:f>
        <x:v>6266000</x:v>
      </x:c>
      <x:c r="T151" s="134" t="n">
        <x:f>ROUNDDOWN(MAX(IF(S151&lt;=1949000,S151*5%,IF(S151&lt;=3299000,S151*10%-97500,IF(S151&lt;=6949000,S151*20%-427500,IF(S151&lt;=8999000,S151*23%-636000,IF(S151&lt;=17999000,S151*33%-1536000,IF(S151&lt;=39999000,S151*40%-2796000,S151*45%-4796000)))))),0),-2)+ROUNDDOWN(ROUNDDOWN(MAX(IF(S151&lt;=1949000,S151*5%,IF(S151&lt;=3299000,S151*10%-97500,IF(S151&lt;=6949000,S151*20%-427500,IF(S151&lt;=8999000,S151*23%-636000,IF(S151&lt;=17999000,S151*33%-1536000,IF(S151&lt;=39999000,S151*40%-2796000,S151*45%-4796000)))))),0),-2)*2.1%,0)</x:f>
        <x:v>843039</x:v>
      </x:c>
      <x:c r="U151" s="134" t="n">
        <x:f>ROUNDDOWN(MAX(($AI$8+R151)-IF(($AI$8+R151)&lt;=24000000,430000,IF(($AI$8+R151)&lt;=24500000,290000,IF(($AI$8+R151)&lt;=25000000,150000,0)))-$AI$10,0),-3)</x:f>
        <x:v>6456000</x:v>
      </x:c>
      <x:c r="V151" s="134" t="n">
        <x:f>ROUNDDOWN(U151*10%,0)+5000</x:f>
        <x:v>650600</x:v>
      </x:c>
      <x:c r="W151" s="134" t="n">
        <x:f>IF($AI$20="OK",$AI$16-(T151+V151),0)</x:f>
        <x:v>0</x:v>
      </x:c>
      <x:c r="X151" s="134" t="n">
        <x:f>F151+W151</x:f>
        <x:v>-450227.81947596767</x:v>
      </x:c>
      <x:c r="Y151" s="134" t="n">
        <x:f>Y150+X151</x:f>
        <x:v>-1758955.3299413708</x:v>
      </x:c>
      <x:c r="Z151" s="134" t="n">
        <x:f>MAX(Z150-M151,0)</x:f>
        <x:v>0</x:v>
      </x:c>
      <x:c r="AA151" s="134" t="n">
        <x:f>MAX(AA150-N151,0)</x:f>
        <x:v>0</x:v>
      </x:c>
      <x:c r="AB151" s="134" t="n">
        <x:f>MAX('診断'!$C$7-'診断'!$C$50,0)+Z151+AA151+'診断'!$C$57</x:f>
        <x:v>35000000</x:v>
      </x:c>
      <x:c r="AC151" s="134" t="n">
        <x:f>MAX(J151-AB151-(J151*'診断'!$C$24+'診断'!$C$25)-'診断'!$C$58,0)</x:f>
        <x:v>0</x:v>
      </x:c>
      <x:c r="AD151" s="134" t="n">
        <x:f>IF($AI$20&lt;&gt;"OK",0,AC151*IF(AG151="長期",15%+5%+15%*2.1%,30%+9%+30%*2.1%))</x:f>
        <x:v>0</x:v>
      </x:c>
      <x:c r="AE151" s="134" t="n">
        <x:f>J151-(J151*'診断'!$C$24+'診断'!$C$25)-I151-AD151</x:f>
        <x:v>-525515.9825048372</x:v>
      </x:c>
      <x:c r="AF151" s="134" t="n">
        <x:f>Y151+AE151-MAX(0,'診断'!$C$7+'診断'!$C$8-'診断'!$C$9)</x:f>
        <x:v>-2784471.3124462077</x:v>
      </x:c>
      <x:c r="AG151" s="406" t="str">
        <x:f>IF('診断'!$C$49&lt;DATE(YEAR('診断'!$C$49)+A151-1-5,1,1),"長期","短期")</x:f>
        <x:v>短期</x:v>
      </x:c>
    </x:row>
    <x:row r="152" ht="20" customHeight="1">
      <x:c r="A152" s="197" t="n">
        <x:v>5</x:v>
      </x:c>
      <x:c r="B152" s="242" t="n">
        <x:f>'診断'!$C$12*12*'診断'!$D$30*'診断'!$D$31*(1-'診断'!$C$19)^(A152-1)</x:f>
        <x:v>1452581.55992625</x:v>
      </x:c>
      <x:c r="C152" s="242" t="n">
        <x:f>(('診断'!$C$13+'診断'!$C$14)*12+'診断'!$C$21+'診断'!$C$22+B152*'診断'!$C$15)*'診断'!$D$33+'診断'!$C$23*'診断'!$D$34</x:f>
        <x:v>522629.0779963125</x:v>
      </x:c>
      <x:c r="D152" s="242" t="n">
        <x:f>B152-C152</x:f>
        <x:v>929952.4819299375</x:v>
      </x:c>
      <x:c r="E152" s="242" t="n">
        <x:f>IF(A152&lt;='診断'!$C$11,-PMT('診断'!$D$32/12,'診断'!$C$11*12,'診断'!$C$9)*12,0)</x:f>
        <x:v>1387114.7359884677</x:v>
      </x:c>
      <x:c r="F152" s="242" t="n">
        <x:f>D152-E152</x:f>
        <x:v>-457162.2540585302</x:v>
      </x:c>
      <x:c r="G152" s="242" t="n">
        <x:f>G151+F152</x:f>
        <x:v>-2216117.583999901</x:v>
      </x:c>
      <x:c r="H152" s="242" t="n">
        <x:f>H151+MAX(0,-F152)</x:f>
        <x:v>2216117.583999901</x:v>
      </x:c>
      <x:c r="I152" s="242" t="n">
        <x:f>IF(A152&gt;='診断'!$C$11,0,MAX(0,-FV('診断'!$D$32/12,A152*12,PMT('診断'!$D$32/12,'診断'!$C$11*12,'診断'!$C$9),'診断'!$C$9)))</x:f>
        <x:v>32136051.745506845</x:v>
      </x:c>
      <x:c r="J152" s="242" t="n">
        <x:f>'診断'!$C$7*(1+'診断'!$D$35)^A152</x:f>
        <x:v>33284651.746499997</x:v>
      </x:c>
      <x:c r="K152" s="242" t="n">
        <x:f>J152*(1-'診断'!$C$24)-'診断'!$C$25-I152</x:f>
        <x:v>-49793.50664135069</x:v>
      </x:c>
      <x:c r="L152" s="242" t="n">
        <x:f>MAX(E152-MAX(I151-I152,0),0)</x:f>
        <x:v>586278.5405404752</x:v>
      </x:c>
      <x:c r="M152" s="242" t="n">
        <x:f>IF(OR($AI$20&lt;&gt;"OK",A152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151-1,0)))</x:f>
        <x:v>0</x:v>
      </x:c>
      <x:c r="N152" s="242" t="n">
        <x:f>IF(OR($AI$20&lt;&gt;"OK",A152&gt;'診断'!$C$16),0,MIN('診断'!$C$50*(1-'診断'!$C$53)*ROUNDUP(1/MAX(2,ROUNDDOWN(IF('診断'!$C$52&gt;=15,15*20%,(15-'診断'!$C$52)+'診断'!$C$52*20%),0)),3)*(12)/12,MAX(AA151-1,0)))</x:f>
        <x:v>0</x:v>
      </x:c>
      <x:c r="O152" s="242" t="n">
        <x:f>M152+N152</x:f>
        <x:v>0</x:v>
      </x:c>
      <x:c r="P152" s="134" t="n">
        <x:f>B152-C152-L152-O152</x:f>
        <x:v>343673.9413894623</x:v>
      </x:c>
      <x:c r="Q152" s="134" t="n">
        <x:f>L152*IF('診断'!$C$9&gt;0,$AI$17/'診断'!$C$9,0)</x:f>
        <x:v>569993.025525462</x:v>
      </x:c>
      <x:c r="R152" s="134" t="n">
        <x:f>IF(P152&gt;=0,P152,MIN(0,P152+Q152))</x:f>
        <x:v>343673.9413894623</x:v>
      </x:c>
      <x:c r="S152" s="134" t="n">
        <x:f>ROUNDDOWN(MAX(($AI$8+R152)-IF(($AI$8+R152)&lt;=4890000,1040000,IF(($AI$8+R152)&lt;=6550000,670000,IF(($AI$8+R152)&lt;=23500000,620000,IF(($AI$8+R152)&lt;=24000000,480000,IF(($AI$8+R152)&lt;=24500000,320000,IF(($AI$8+R152)&lt;=25000000,160000,0))))))-$AI$10,0),-3)</x:f>
        <x:v>6273000</x:v>
      </x:c>
      <x:c r="T152" s="134" t="n">
        <x:f>ROUNDDOWN(MAX(IF(S152&lt;=1949000,S152*5%,IF(S152&lt;=3299000,S152*10%-97500,IF(S152&lt;=6949000,S152*20%-427500,IF(S152&lt;=8999000,S152*23%-636000,IF(S152&lt;=17999000,S152*33%-1536000,IF(S152&lt;=39999000,S152*40%-2796000,S152*45%-4796000)))))),0),-2)+ROUNDDOWN(ROUNDDOWN(MAX(IF(S152&lt;=1949000,S152*5%,IF(S152&lt;=3299000,S152*10%-97500,IF(S152&lt;=6949000,S152*20%-427500,IF(S152&lt;=8999000,S152*23%-636000,IF(S152&lt;=17999000,S152*33%-1536000,IF(S152&lt;=39999000,S152*40%-2796000,S152*45%-4796000)))))),0),-2)*2.1%,0)</x:f>
        <x:v>844469</x:v>
      </x:c>
      <x:c r="U152" s="134" t="n">
        <x:f>ROUNDDOWN(MAX(($AI$8+R152)-IF(($AI$8+R152)&lt;=24000000,430000,IF(($AI$8+R152)&lt;=24500000,290000,IF(($AI$8+R152)&lt;=25000000,150000,0)))-$AI$10,0),-3)</x:f>
        <x:v>6463000</x:v>
      </x:c>
      <x:c r="V152" s="134" t="n">
        <x:f>ROUNDDOWN(U152*10%,0)+5000</x:f>
        <x:v>651300</x:v>
      </x:c>
      <x:c r="W152" s="134" t="n">
        <x:f>IF($AI$20="OK",$AI$16-(T152+V152),0)</x:f>
        <x:v>0</x:v>
      </x:c>
      <x:c r="X152" s="134" t="n">
        <x:f>F152+W152</x:f>
        <x:v>-457162.2540585302</x:v>
      </x:c>
      <x:c r="Y152" s="134" t="n">
        <x:f>Y151+X152</x:f>
        <x:v>-2216117.583999901</x:v>
      </x:c>
      <x:c r="Z152" s="134" t="n">
        <x:f>MAX(Z151-M152,0)</x:f>
        <x:v>0</x:v>
      </x:c>
      <x:c r="AA152" s="134" t="n">
        <x:f>MAX(AA151-N152,0)</x:f>
        <x:v>0</x:v>
      </x:c>
      <x:c r="AB152" s="134" t="n">
        <x:f>MAX('診断'!$C$7-'診断'!$C$50,0)+Z152+AA152+'診断'!$C$57</x:f>
        <x:v>35000000</x:v>
      </x:c>
      <x:c r="AC152" s="134" t="n">
        <x:f>MAX(J152-AB152-(J152*'診断'!$C$24+'診断'!$C$25)-'診断'!$C$58,0)</x:f>
        <x:v>0</x:v>
      </x:c>
      <x:c r="AD152" s="134" t="n">
        <x:f>IF($AI$20&lt;&gt;"OK",0,AC152*IF(AG152="長期",15%+5%+15%*2.1%,30%+9%+30%*2.1%))</x:f>
        <x:v>0</x:v>
      </x:c>
      <x:c r="AE152" s="134" t="n">
        <x:f>J152-(J152*'診断'!$C$24+'診断'!$C$25)-I152-AD152</x:f>
        <x:v>-49793.50664135069</x:v>
      </x:c>
      <x:c r="AF152" s="134" t="n">
        <x:f>Y152+AE152-MAX(0,'診断'!$C$7+'診断'!$C$8-'診断'!$C$9)</x:f>
        <x:v>-2765911.0906412518</x:v>
      </x:c>
      <x:c r="AG152" s="406" t="str">
        <x:f>IF('診断'!$C$49&lt;DATE(YEAR('診断'!$C$49)+A152-1-5,1,1),"長期","短期")</x:f>
        <x:v>短期</x:v>
      </x:c>
    </x:row>
    <x:row r="153" ht="20" customHeight="1">
      <x:c r="A153" s="197" t="n">
        <x:v>6</x:v>
      </x:c>
      <x:c r="B153" s="242" t="n">
        <x:f>'診断'!$C$12*12*'診断'!$D$30*'診断'!$D$31*(1-'診断'!$C$19)^(A153-1)</x:f>
        <x:v>1445318.6521266187</x:v>
      </x:c>
      <x:c r="C153" s="242" t="n">
        <x:f>(('診断'!$C$13+'診断'!$C$14)*12+'診断'!$C$21+'診断'!$C$22+B153*'診断'!$C$15)*'診断'!$D$33+'診断'!$C$23*'診断'!$D$34</x:f>
        <x:v>522265.93260633096</x:v>
      </x:c>
      <x:c r="D153" s="242" t="n">
        <x:f>B153-C153</x:f>
        <x:v>923052.7195202877</x:v>
      </x:c>
      <x:c r="E153" s="242" t="n">
        <x:f>IF(A153&lt;='診断'!$C$11,-PMT('診断'!$D$32/12,'診断'!$C$11*12,'診断'!$C$9)*12,0)</x:f>
        <x:v>1387114.7359884677</x:v>
      </x:c>
      <x:c r="F153" s="242" t="n">
        <x:f>D153-E153</x:f>
        <x:v>-464062.01646818</x:v>
      </x:c>
      <x:c r="G153" s="242" t="n">
        <x:f>G152+F153</x:f>
        <x:v>-2680179.600468081</x:v>
      </x:c>
      <x:c r="H153" s="242" t="n">
        <x:f>H152+MAX(0,-F153)</x:f>
        <x:v>2680179.600468081</x:v>
      </x:c>
      <x:c r="I153" s="242" t="n">
        <x:f>IF(A153&gt;='診断'!$C$11,0,MAX(0,-FV('診断'!$D$32/12,A153*12,PMT('診断'!$D$32/12,'診断'!$C$11*12,'診断'!$C$9),'診断'!$C$9)))</x:f>
        <x:v>31320680.97773323</x:v>
      </x:c>
      <x:c r="J153" s="242" t="n">
        <x:f>'診断'!$C$7*(1+'診断'!$D$35)^A153</x:f>
        <x:v>32951805.229035</x:v>
      </x:c>
      <x:c r="K153" s="242" t="n">
        <x:f>J153*(1-'診断'!$C$24)-'診断'!$C$25-I153</x:f>
        <x:v>443714.67874361575</x:v>
      </x:c>
      <x:c r="L153" s="242" t="n">
        <x:f>MAX(E153-MAX(I152-I153,0),0)</x:f>
        <x:v>571743.9682148506</x:v>
      </x:c>
      <x:c r="M153" s="242" t="n">
        <x:f>IF(OR($AI$20&lt;&gt;"OK",A153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152-1,0)))</x:f>
        <x:v>0</x:v>
      </x:c>
      <x:c r="N153" s="242" t="n">
        <x:f>IF(OR($AI$20&lt;&gt;"OK",A153&gt;'診断'!$C$16),0,MIN('診断'!$C$50*(1-'診断'!$C$53)*ROUNDUP(1/MAX(2,ROUNDDOWN(IF('診断'!$C$52&gt;=15,15*20%,(15-'診断'!$C$52)+'診断'!$C$52*20%),0)),3)*(12)/12,MAX(AA152-1,0)))</x:f>
        <x:v>0</x:v>
      </x:c>
      <x:c r="O153" s="242" t="n">
        <x:f>M153+N153</x:f>
        <x:v>0</x:v>
      </x:c>
      <x:c r="P153" s="134" t="n">
        <x:f>B153-C153-L153-O153</x:f>
        <x:v>351308.75130543706</x:v>
      </x:c>
      <x:c r="Q153" s="134" t="n">
        <x:f>L153*IF('診断'!$C$9&gt;0,$AI$17/'診断'!$C$9,0)</x:f>
        <x:v>555862.1913199937</x:v>
      </x:c>
      <x:c r="R153" s="134" t="n">
        <x:f>IF(P153&gt;=0,P153,MIN(0,P153+Q153))</x:f>
        <x:v>351308.75130543706</x:v>
      </x:c>
      <x:c r="S153" s="134" t="n">
        <x:f>ROUNDDOWN(MAX(($AI$8+R153)-IF(($AI$8+R153)&lt;=4890000,1040000,IF(($AI$8+R153)&lt;=6550000,670000,IF(($AI$8+R153)&lt;=23500000,620000,IF(($AI$8+R153)&lt;=24000000,480000,IF(($AI$8+R153)&lt;=24500000,320000,IF(($AI$8+R153)&lt;=25000000,160000,0))))))-$AI$10,0),-3)</x:f>
        <x:v>6281000</x:v>
      </x:c>
      <x:c r="T153" s="134" t="n">
        <x:f>ROUNDDOWN(MAX(IF(S153&lt;=1949000,S153*5%,IF(S153&lt;=3299000,S153*10%-97500,IF(S153&lt;=6949000,S153*20%-427500,IF(S153&lt;=8999000,S153*23%-636000,IF(S153&lt;=17999000,S153*33%-1536000,IF(S153&lt;=39999000,S153*40%-2796000,S153*45%-4796000)))))),0),-2)+ROUNDDOWN(ROUNDDOWN(MAX(IF(S153&lt;=1949000,S153*5%,IF(S153&lt;=3299000,S153*10%-97500,IF(S153&lt;=6949000,S153*20%-427500,IF(S153&lt;=8999000,S153*23%-636000,IF(S153&lt;=17999000,S153*33%-1536000,IF(S153&lt;=39999000,S153*40%-2796000,S153*45%-4796000)))))),0),-2)*2.1%,0)</x:f>
        <x:v>846102</x:v>
      </x:c>
      <x:c r="U153" s="134" t="n">
        <x:f>ROUNDDOWN(MAX(($AI$8+R153)-IF(($AI$8+R153)&lt;=24000000,430000,IF(($AI$8+R153)&lt;=24500000,290000,IF(($AI$8+R153)&lt;=25000000,150000,0)))-$AI$10,0),-3)</x:f>
        <x:v>6471000</x:v>
      </x:c>
      <x:c r="V153" s="134" t="n">
        <x:f>ROUNDDOWN(U153*10%,0)+5000</x:f>
        <x:v>652100</x:v>
      </x:c>
      <x:c r="W153" s="134" t="n">
        <x:f>IF($AI$20="OK",$AI$16-(T153+V153),0)</x:f>
        <x:v>0</x:v>
      </x:c>
      <x:c r="X153" s="134" t="n">
        <x:f>F153+W153</x:f>
        <x:v>-464062.01646818</x:v>
      </x:c>
      <x:c r="Y153" s="134" t="n">
        <x:f>Y152+X153</x:f>
        <x:v>-2680179.600468081</x:v>
      </x:c>
      <x:c r="Z153" s="134" t="n">
        <x:f>MAX(Z152-M153,0)</x:f>
        <x:v>0</x:v>
      </x:c>
      <x:c r="AA153" s="134" t="n">
        <x:f>MAX(AA152-N153,0)</x:f>
        <x:v>0</x:v>
      </x:c>
      <x:c r="AB153" s="134" t="n">
        <x:f>MAX('診断'!$C$7-'診断'!$C$50,0)+Z153+AA153+'診断'!$C$57</x:f>
        <x:v>35000000</x:v>
      </x:c>
      <x:c r="AC153" s="134" t="n">
        <x:f>MAX(J153-AB153-(J153*'診断'!$C$24+'診断'!$C$25)-'診断'!$C$58,0)</x:f>
        <x:v>0</x:v>
      </x:c>
      <x:c r="AD153" s="134" t="n">
        <x:f>IF($AI$20&lt;&gt;"OK",0,AC153*IF(AG153="長期",15%+5%+15%*2.1%,30%+9%+30%*2.1%))</x:f>
        <x:v>0</x:v>
      </x:c>
      <x:c r="AE153" s="134" t="n">
        <x:f>J153-(J153*'診断'!$C$24+'診断'!$C$25)-I153-AD153</x:f>
        <x:v>443714.6787436195</x:v>
      </x:c>
      <x:c r="AF153" s="134" t="n">
        <x:f>Y153+AE153-MAX(0,'診断'!$C$7+'診断'!$C$8-'診断'!$C$9)</x:f>
        <x:v>-2736464.9217244615</x:v>
      </x:c>
      <x:c r="AG153" s="406" t="str">
        <x:f>IF('診断'!$C$49&lt;DATE(YEAR('診断'!$C$49)+A153-1-5,1,1),"長期","短期")</x:f>
        <x:v>短期</x:v>
      </x:c>
    </x:row>
    <x:row r="154" ht="20" customHeight="1">
      <x:c r="A154" s="197" t="n">
        <x:v>7</x:v>
      </x:c>
      <x:c r="B154" s="242" t="n">
        <x:f>'診断'!$C$12*12*'診断'!$D$30*'診断'!$D$31*(1-'診断'!$C$19)^(A154-1)</x:f>
        <x:v>1438092.0588659856</x:v>
      </x:c>
      <x:c r="C154" s="242" t="n">
        <x:f>(('診断'!$C$13+'診断'!$C$14)*12+'診断'!$C$21+'診断'!$C$22+B154*'診断'!$C$15)*'診断'!$D$33+'診断'!$C$23*'診断'!$D$34</x:f>
        <x:v>521904.6029432993</x:v>
      </x:c>
      <x:c r="D154" s="242" t="n">
        <x:f>B154-C154</x:f>
        <x:v>916187.4559226863</x:v>
      </x:c>
      <x:c r="E154" s="242" t="n">
        <x:f>IF(A154&lt;='診断'!$C$11,-PMT('診断'!$D$32/12,'診断'!$C$11*12,'診断'!$C$9)*12,0)</x:f>
        <x:v>1387114.7359884677</x:v>
      </x:c>
      <x:c r="F154" s="242" t="n">
        <x:f>D154-E154</x:f>
        <x:v>-470927.28006578144</x:v>
      </x:c>
      <x:c r="G154" s="242" t="n">
        <x:f>G153+F154</x:f>
        <x:v>-3151106.8805338624</x:v>
      </x:c>
      <x:c r="H154" s="242" t="n">
        <x:f>H153+MAX(0,-F154)</x:f>
        <x:v>3151106.8805338624</x:v>
      </x:c>
      <x:c r="I154" s="242" t="n">
        <x:f>IF(A154&gt;='診断'!$C$11,0,MAX(0,-FV('診断'!$D$32/12,A154*12,PMT('診断'!$D$32/12,'診断'!$C$11*12,'診断'!$C$9),'診断'!$C$9)))</x:f>
        <x:v>30490511.846119687</x:v>
      </x:c>
      <x:c r="J154" s="242" t="n">
        <x:f>'診断'!$C$7*(1+'診断'!$D$35)^A154</x:f>
        <x:v>32622287.176744647</x:v>
      </x:c>
      <x:c r="K154" s="242" t="n">
        <x:f>J154*(1-'診断'!$C$24)-'診断'!$C$25-I154</x:f>
        <x:v>955239.8537923843</x:v>
      </x:c>
      <x:c r="L154" s="242" t="n">
        <x:f>MAX(E154-MAX(I153-I154,0),0)</x:f>
        <x:v>556945.6043749263</x:v>
      </x:c>
      <x:c r="M154" s="242" t="n">
        <x:f>IF(OR($AI$20&lt;&gt;"OK",A154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153-1,0)))</x:f>
        <x:v>0</x:v>
      </x:c>
      <x:c r="N154" s="242" t="n">
        <x:f>IF(OR($AI$20&lt;&gt;"OK",A154&gt;'診断'!$C$16),0,MIN('診断'!$C$50*(1-'診断'!$C$53)*ROUNDUP(1/MAX(2,ROUNDDOWN(IF('診断'!$C$52&gt;=15,15*20%,(15-'診断'!$C$52)+'診断'!$C$52*20%),0)),3)*(12)/12,MAX(AA153-1,0)))</x:f>
        <x:v>0</x:v>
      </x:c>
      <x:c r="O154" s="242" t="n">
        <x:f>M154+N154</x:f>
        <x:v>0</x:v>
      </x:c>
      <x:c r="P154" s="134" t="n">
        <x:f>B154-C154-L154-O154</x:f>
        <x:v>359241.85154775996</x:v>
      </x:c>
      <x:c r="Q154" s="134" t="n">
        <x:f>L154*IF('診断'!$C$9&gt;0,$AI$17/'診断'!$C$9,0)</x:f>
        <x:v>541474.8931422895</x:v>
      </x:c>
      <x:c r="R154" s="134" t="n">
        <x:f>IF(P154&gt;=0,P154,MIN(0,P154+Q154))</x:f>
        <x:v>359241.85154775996</x:v>
      </x:c>
      <x:c r="S154" s="134" t="n">
        <x:f>ROUNDDOWN(MAX(($AI$8+R154)-IF(($AI$8+R154)&lt;=4890000,1040000,IF(($AI$8+R154)&lt;=6550000,670000,IF(($AI$8+R154)&lt;=23500000,620000,IF(($AI$8+R154)&lt;=24000000,480000,IF(($AI$8+R154)&lt;=24500000,320000,IF(($AI$8+R154)&lt;=25000000,160000,0))))))-$AI$10,0),-3)</x:f>
        <x:v>6289000</x:v>
      </x:c>
      <x:c r="T154" s="134" t="n">
        <x:f>ROUNDDOWN(MAX(IF(S154&lt;=1949000,S154*5%,IF(S154&lt;=3299000,S154*10%-97500,IF(S154&lt;=6949000,S154*20%-427500,IF(S154&lt;=8999000,S154*23%-636000,IF(S154&lt;=17999000,S154*33%-1536000,IF(S154&lt;=39999000,S154*40%-2796000,S154*45%-4796000)))))),0),-2)+ROUNDDOWN(ROUNDDOWN(MAX(IF(S154&lt;=1949000,S154*5%,IF(S154&lt;=3299000,S154*10%-97500,IF(S154&lt;=6949000,S154*20%-427500,IF(S154&lt;=8999000,S154*23%-636000,IF(S154&lt;=17999000,S154*33%-1536000,IF(S154&lt;=39999000,S154*40%-2796000,S154*45%-4796000)))))),0),-2)*2.1%,0)</x:f>
        <x:v>847736</x:v>
      </x:c>
      <x:c r="U154" s="134" t="n">
        <x:f>ROUNDDOWN(MAX(($AI$8+R154)-IF(($AI$8+R154)&lt;=24000000,430000,IF(($AI$8+R154)&lt;=24500000,290000,IF(($AI$8+R154)&lt;=25000000,150000,0)))-$AI$10,0),-3)</x:f>
        <x:v>6479000</x:v>
      </x:c>
      <x:c r="V154" s="134" t="n">
        <x:f>ROUNDDOWN(U154*10%,0)+5000</x:f>
        <x:v>652900</x:v>
      </x:c>
      <x:c r="W154" s="134" t="n">
        <x:f>IF($AI$20="OK",$AI$16-(T154+V154),0)</x:f>
        <x:v>0</x:v>
      </x:c>
      <x:c r="X154" s="134" t="n">
        <x:f>F154+W154</x:f>
        <x:v>-470927.28006578144</x:v>
      </x:c>
      <x:c r="Y154" s="134" t="n">
        <x:f>Y153+X154</x:f>
        <x:v>-3151106.8805338624</x:v>
      </x:c>
      <x:c r="Z154" s="134" t="n">
        <x:f>MAX(Z153-M154,0)</x:f>
        <x:v>0</x:v>
      </x:c>
      <x:c r="AA154" s="134" t="n">
        <x:f>MAX(AA153-N154,0)</x:f>
        <x:v>0</x:v>
      </x:c>
      <x:c r="AB154" s="134" t="n">
        <x:f>MAX('診断'!$C$7-'診断'!$C$50,0)+Z154+AA154+'診断'!$C$57</x:f>
        <x:v>35000000</x:v>
      </x:c>
      <x:c r="AC154" s="134" t="n">
        <x:f>MAX(J154-AB154-(J154*'診断'!$C$24+'診断'!$C$25)-'診断'!$C$58,0)</x:f>
        <x:v>0</x:v>
      </x:c>
      <x:c r="AD154" s="134" t="n">
        <x:f>IF($AI$20&lt;&gt;"OK",0,AC154*IF(AG154="長期",15%+5%+15%*2.1%,30%+9%+30%*2.1%))</x:f>
        <x:v>0</x:v>
      </x:c>
      <x:c r="AE154" s="134" t="n">
        <x:f>J154-(J154*'診断'!$C$24+'診断'!$C$25)-I154-AD154</x:f>
        <x:v>955239.853792388</x:v>
      </x:c>
      <x:c r="AF154" s="134" t="n">
        <x:f>Y154+AE154-MAX(0,'診断'!$C$7+'診断'!$C$8-'診断'!$C$9)</x:f>
        <x:v>-2695867.0267414744</x:v>
      </x:c>
      <x:c r="AG154" s="406" t="str">
        <x:f>IF('診断'!$C$49&lt;DATE(YEAR('診断'!$C$49)+A154-1-5,1,1),"長期","短期")</x:f>
        <x:v>長期</x:v>
      </x:c>
    </x:row>
    <x:row r="155" ht="20" customHeight="1">
      <x:c r="A155" s="197" t="n">
        <x:v>8</x:v>
      </x:c>
      <x:c r="B155" s="242" t="n">
        <x:f>'診断'!$C$12*12*'診断'!$D$30*'診断'!$D$31*(1-'診断'!$C$19)^(A155-1)</x:f>
        <x:v>1430901.5985716556</x:v>
      </x:c>
      <x:c r="C155" s="242" t="n">
        <x:f>(('診断'!$C$13+'診断'!$C$14)*12+'診断'!$C$21+'診断'!$C$22+B155*'診断'!$C$15)*'診断'!$D$33+'診断'!$C$23*'診断'!$D$34</x:f>
        <x:v>521545.07992858277</x:v>
      </x:c>
      <x:c r="D155" s="242" t="n">
        <x:f>B155-C155</x:f>
        <x:v>909356.5186430728</x:v>
      </x:c>
      <x:c r="E155" s="242" t="n">
        <x:f>IF(A155&lt;='診断'!$C$11,-PMT('診断'!$D$32/12,'診断'!$C$11*12,'診断'!$C$9)*12,0)</x:f>
        <x:v>1387114.7359884677</x:v>
      </x:c>
      <x:c r="F155" s="242" t="n">
        <x:f>D155-E155</x:f>
        <x:v>-477758.2173453949</x:v>
      </x:c>
      <x:c r="G155" s="242" t="n">
        <x:f>G154+F155</x:f>
        <x:v>-3628865.097879257</x:v>
      </x:c>
      <x:c r="H155" s="242" t="n">
        <x:f>H154+MAX(0,-F155)</x:f>
        <x:v>3628865.097879257</x:v>
      </x:c>
      <x:c r="I155" s="242" t="n">
        <x:f>IF(A155&gt;='診断'!$C$11,0,MAX(0,-FV('診断'!$D$32/12,A155*12,PMT('診断'!$D$32/12,'診断'!$C$11*12,'診断'!$C$9),'診断'!$C$9)))</x:f>
        <x:v>29645275.77153513</x:v>
      </x:c>
      <x:c r="J155" s="242" t="n">
        <x:f>'診断'!$C$7*(1+'診断'!$D$35)^A155</x:f>
        <x:v>32296064.3049772</x:v>
      </x:c>
      <x:c r="K155" s="242" t="n">
        <x:f>J155*(1-'診断'!$C$24)-'診断'!$C$25-I155</x:f>
        <x:v>1485018.4113778248</x:v>
      </x:c>
      <x:c r="L155" s="242" t="n">
        <x:f>MAX(E155-MAX(I154-I155,0),0)</x:f>
        <x:v>541878.6614039091</x:v>
      </x:c>
      <x:c r="M155" s="242" t="n">
        <x:f>IF(OR($AI$20&lt;&gt;"OK",A155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154-1,0)))</x:f>
        <x:v>0</x:v>
      </x:c>
      <x:c r="N155" s="242" t="n">
        <x:f>IF(OR($AI$20&lt;&gt;"OK",A155&gt;'診断'!$C$16),0,MIN('診断'!$C$50*(1-'診断'!$C$53)*ROUNDUP(1/MAX(2,ROUNDDOWN(IF('診断'!$C$52&gt;=15,15*20%,(15-'診断'!$C$52)+'診断'!$C$52*20%),0)),3)*(12)/12,MAX(AA154-1,0)))</x:f>
        <x:v>0</x:v>
      </x:c>
      <x:c r="O155" s="242" t="n">
        <x:f>M155+N155</x:f>
        <x:v>0</x:v>
      </x:c>
      <x:c r="P155" s="134" t="n">
        <x:f>B155-C155-L155-O155</x:f>
        <x:v>367477.8572391637</x:v>
      </x:c>
      <x:c r="Q155" s="134" t="n">
        <x:f>L155*IF('診断'!$C$9&gt;0,$AI$17/'診断'!$C$9,0)</x:f>
        <x:v>526826.4763649117</x:v>
      </x:c>
      <x:c r="R155" s="134" t="n">
        <x:f>IF(P155&gt;=0,P155,MIN(0,P155+Q155))</x:f>
        <x:v>367477.8572391637</x:v>
      </x:c>
      <x:c r="S155" s="134" t="n">
        <x:f>ROUNDDOWN(MAX(($AI$8+R155)-IF(($AI$8+R155)&lt;=4890000,1040000,IF(($AI$8+R155)&lt;=6550000,670000,IF(($AI$8+R155)&lt;=23500000,620000,IF(($AI$8+R155)&lt;=24000000,480000,IF(($AI$8+R155)&lt;=24500000,320000,IF(($AI$8+R155)&lt;=25000000,160000,0))))))-$AI$10,0),-3)</x:f>
        <x:v>6297000</x:v>
      </x:c>
      <x:c r="T155" s="134" t="n">
        <x:f>ROUNDDOWN(MAX(IF(S155&lt;=1949000,S155*5%,IF(S155&lt;=3299000,S155*10%-97500,IF(S155&lt;=6949000,S155*20%-427500,IF(S155&lt;=8999000,S155*23%-636000,IF(S155&lt;=17999000,S155*33%-1536000,IF(S155&lt;=39999000,S155*40%-2796000,S155*45%-4796000)))))),0),-2)+ROUNDDOWN(ROUNDDOWN(MAX(IF(S155&lt;=1949000,S155*5%,IF(S155&lt;=3299000,S155*10%-97500,IF(S155&lt;=6949000,S155*20%-427500,IF(S155&lt;=8999000,S155*23%-636000,IF(S155&lt;=17999000,S155*33%-1536000,IF(S155&lt;=39999000,S155*40%-2796000,S155*45%-4796000)))))),0),-2)*2.1%,0)</x:f>
        <x:v>849369</x:v>
      </x:c>
      <x:c r="U155" s="134" t="n">
        <x:f>ROUNDDOWN(MAX(($AI$8+R155)-IF(($AI$8+R155)&lt;=24000000,430000,IF(($AI$8+R155)&lt;=24500000,290000,IF(($AI$8+R155)&lt;=25000000,150000,0)))-$AI$10,0),-3)</x:f>
        <x:v>6487000</x:v>
      </x:c>
      <x:c r="V155" s="134" t="n">
        <x:f>ROUNDDOWN(U155*10%,0)+5000</x:f>
        <x:v>653700</x:v>
      </x:c>
      <x:c r="W155" s="134" t="n">
        <x:f>IF($AI$20="OK",$AI$16-(T155+V155),0)</x:f>
        <x:v>0</x:v>
      </x:c>
      <x:c r="X155" s="134" t="n">
        <x:f>F155+W155</x:f>
        <x:v>-477758.2173453949</x:v>
      </x:c>
      <x:c r="Y155" s="134" t="n">
        <x:f>Y154+X155</x:f>
        <x:v>-3628865.097879257</x:v>
      </x:c>
      <x:c r="Z155" s="134" t="n">
        <x:f>MAX(Z154-M155,0)</x:f>
        <x:v>0</x:v>
      </x:c>
      <x:c r="AA155" s="134" t="n">
        <x:f>MAX(AA154-N155,0)</x:f>
        <x:v>0</x:v>
      </x:c>
      <x:c r="AB155" s="134" t="n">
        <x:f>MAX('診断'!$C$7-'診断'!$C$50,0)+Z155+AA155+'診断'!$C$57</x:f>
        <x:v>35000000</x:v>
      </x:c>
      <x:c r="AC155" s="134" t="n">
        <x:f>MAX(J155-AB155-(J155*'診断'!$C$24+'診断'!$C$25)-'診断'!$C$58,0)</x:f>
        <x:v>0</x:v>
      </x:c>
      <x:c r="AD155" s="134" t="n">
        <x:f>IF($AI$20&lt;&gt;"OK",0,AC155*IF(AG155="長期",15%+5%+15%*2.1%,30%+9%+30%*2.1%))</x:f>
        <x:v>0</x:v>
      </x:c>
      <x:c r="AE155" s="134" t="n">
        <x:f>J155-(J155*'診断'!$C$24+'診断'!$C$25)-I155-AD155</x:f>
        <x:v>1485018.4113778248</x:v>
      </x:c>
      <x:c r="AF155" s="134" t="n">
        <x:f>Y155+AE155-MAX(0,'診断'!$C$7+'診断'!$C$8-'診断'!$C$9)</x:f>
        <x:v>-2643846.686501432</x:v>
      </x:c>
      <x:c r="AG155" s="406" t="str">
        <x:f>IF('診断'!$C$49&lt;DATE(YEAR('診断'!$C$49)+A155-1-5,1,1),"長期","短期")</x:f>
        <x:v>長期</x:v>
      </x:c>
    </x:row>
    <x:row r="156" ht="20" customHeight="1">
      <x:c r="A156" s="197" t="n">
        <x:v>9</x:v>
      </x:c>
      <x:c r="B156" s="242" t="n">
        <x:f>'診断'!$C$12*12*'診断'!$D$30*'診断'!$D$31*(1-'診断'!$C$19)^(A156-1)</x:f>
        <x:v>1423747.0905787973</x:v>
      </x:c>
      <x:c r="C156" s="242" t="n">
        <x:f>(('診断'!$C$13+'診断'!$C$14)*12+'診断'!$C$21+'診断'!$C$22+B156*'診断'!$C$15)*'診断'!$D$33+'診断'!$C$23*'診断'!$D$34</x:f>
        <x:v>521187.3545289399</x:v>
      </x:c>
      <x:c r="D156" s="242" t="n">
        <x:f>B156-C156</x:f>
        <x:v>902559.7360498575</x:v>
      </x:c>
      <x:c r="E156" s="242" t="n">
        <x:f>IF(A156&lt;='診断'!$C$11,-PMT('診断'!$D$32/12,'診断'!$C$11*12,'診断'!$C$9)*12,0)</x:f>
        <x:v>1387114.7359884677</x:v>
      </x:c>
      <x:c r="F156" s="242" t="n">
        <x:f>D156-E156</x:f>
        <x:v>-484554.99993861024</x:v>
      </x:c>
      <x:c r="G156" s="242" t="n">
        <x:f>G155+F156</x:f>
        <x:v>-4113420.097817867</x:v>
      </x:c>
      <x:c r="H156" s="242" t="n">
        <x:f>H155+MAX(0,-F156)</x:f>
        <x:v>4113420.097817867</x:v>
      </x:c>
      <x:c r="I156" s="242" t="n">
        <x:f>IF(A156&gt;='診断'!$C$11,0,MAX(0,-FV('診断'!$D$32/12,A156*12,PMT('診断'!$D$32/12,'診断'!$C$11*12,'診断'!$C$9),'診断'!$C$9)))</x:f>
        <x:v>28784699.300339982</x:v>
      </x:c>
      <x:c r="J156" s="242" t="n">
        <x:f>'診断'!$C$7*(1+'診断'!$D$35)^A156</x:f>
        <x:v>31973103.661927428</x:v>
      </x:c>
      <x:c r="K156" s="242" t="n">
        <x:f>J156*(1-'診断'!$C$24)-'診断'!$C$25-I156</x:f>
        <x:v>2033291.9407438412</x:v>
      </x:c>
      <x:c r="L156" s="242" t="n">
        <x:f>MAX(E156-MAX(I155-I156,0),0)</x:f>
        <x:v>526538.2647933213</x:v>
      </x:c>
      <x:c r="M156" s="242" t="n">
        <x:f>IF(OR($AI$20&lt;&gt;"OK",A156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155-1,0)))</x:f>
        <x:v>0</x:v>
      </x:c>
      <x:c r="N156" s="242" t="n">
        <x:f>IF(OR($AI$20&lt;&gt;"OK",A156&gt;'診断'!$C$16),0,MIN('診断'!$C$50*(1-'診断'!$C$53)*ROUNDUP(1/MAX(2,ROUNDDOWN(IF('診断'!$C$52&gt;=15,15*20%,(15-'診断'!$C$52)+'診断'!$C$52*20%),0)),3)*(12)/12,MAX(AA155-1,0)))</x:f>
        <x:v>0</x:v>
      </x:c>
      <x:c r="O156" s="242" t="n">
        <x:f>M156+N156</x:f>
        <x:v>0</x:v>
      </x:c>
      <x:c r="P156" s="134" t="n">
        <x:f>B156-C156-L156-O156</x:f>
        <x:v>376021.4712565362</x:v>
      </x:c>
      <x:c r="Q156" s="134" t="n">
        <x:f>L156*IF('診断'!$C$9&gt;0,$AI$17/'診断'!$C$9,0)</x:f>
        <x:v>511912.20188239566</x:v>
      </x:c>
      <x:c r="R156" s="134" t="n">
        <x:f>IF(P156&gt;=0,P156,MIN(0,P156+Q156))</x:f>
        <x:v>376021.4712565362</x:v>
      </x:c>
      <x:c r="S156" s="134" t="n">
        <x:f>ROUNDDOWN(MAX(($AI$8+R156)-IF(($AI$8+R156)&lt;=4890000,1040000,IF(($AI$8+R156)&lt;=6550000,670000,IF(($AI$8+R156)&lt;=23500000,620000,IF(($AI$8+R156)&lt;=24000000,480000,IF(($AI$8+R156)&lt;=24500000,320000,IF(($AI$8+R156)&lt;=25000000,160000,0))))))-$AI$10,0),-3)</x:f>
        <x:v>6306000</x:v>
      </x:c>
      <x:c r="T156" s="134" t="n">
        <x:f>ROUNDDOWN(MAX(IF(S156&lt;=1949000,S156*5%,IF(S156&lt;=3299000,S156*10%-97500,IF(S156&lt;=6949000,S156*20%-427500,IF(S156&lt;=8999000,S156*23%-636000,IF(S156&lt;=17999000,S156*33%-1536000,IF(S156&lt;=39999000,S156*40%-2796000,S156*45%-4796000)))))),0),-2)+ROUNDDOWN(ROUNDDOWN(MAX(IF(S156&lt;=1949000,S156*5%,IF(S156&lt;=3299000,S156*10%-97500,IF(S156&lt;=6949000,S156*20%-427500,IF(S156&lt;=8999000,S156*23%-636000,IF(S156&lt;=17999000,S156*33%-1536000,IF(S156&lt;=39999000,S156*40%-2796000,S156*45%-4796000)))))),0),-2)*2.1%,0)</x:f>
        <x:v>851207</x:v>
      </x:c>
      <x:c r="U156" s="134" t="n">
        <x:f>ROUNDDOWN(MAX(($AI$8+R156)-IF(($AI$8+R156)&lt;=24000000,430000,IF(($AI$8+R156)&lt;=24500000,290000,IF(($AI$8+R156)&lt;=25000000,150000,0)))-$AI$10,0),-3)</x:f>
        <x:v>6496000</x:v>
      </x:c>
      <x:c r="V156" s="134" t="n">
        <x:f>ROUNDDOWN(U156*10%,0)+5000</x:f>
        <x:v>654600</x:v>
      </x:c>
      <x:c r="W156" s="134" t="n">
        <x:f>IF($AI$20="OK",$AI$16-(T156+V156),0)</x:f>
        <x:v>0</x:v>
      </x:c>
      <x:c r="X156" s="134" t="n">
        <x:f>F156+W156</x:f>
        <x:v>-484554.99993861024</x:v>
      </x:c>
      <x:c r="Y156" s="134" t="n">
        <x:f>Y155+X156</x:f>
        <x:v>-4113420.097817867</x:v>
      </x:c>
      <x:c r="Z156" s="134" t="n">
        <x:f>MAX(Z155-M156,0)</x:f>
        <x:v>0</x:v>
      </x:c>
      <x:c r="AA156" s="134" t="n">
        <x:f>MAX(AA155-N156,0)</x:f>
        <x:v>0</x:v>
      </x:c>
      <x:c r="AB156" s="134" t="n">
        <x:f>MAX('診断'!$C$7-'診断'!$C$50,0)+Z156+AA156+'診断'!$C$57</x:f>
        <x:v>35000000</x:v>
      </x:c>
      <x:c r="AC156" s="134" t="n">
        <x:f>MAX(J156-AB156-(J156*'診断'!$C$24+'診断'!$C$25)-'診断'!$C$58,0)</x:f>
        <x:v>0</x:v>
      </x:c>
      <x:c r="AD156" s="134" t="n">
        <x:f>IF($AI$20&lt;&gt;"OK",0,AC156*IF(AG156="長期",15%+5%+15%*2.1%,30%+9%+30%*2.1%))</x:f>
        <x:v>0</x:v>
      </x:c>
      <x:c r="AE156" s="134" t="n">
        <x:f>J156-(J156*'診断'!$C$24+'診断'!$C$25)-I156-AD156</x:f>
        <x:v>2033291.9407438412</x:v>
      </x:c>
      <x:c r="AF156" s="134" t="n">
        <x:f>Y156+AE156-MAX(0,'診断'!$C$7+'診断'!$C$8-'診断'!$C$9)</x:f>
        <x:v>-2580128.157074026</x:v>
      </x:c>
      <x:c r="AG156" s="406" t="str">
        <x:f>IF('診断'!$C$49&lt;DATE(YEAR('診断'!$C$49)+A156-1-5,1,1),"長期","短期")</x:f>
        <x:v>長期</x:v>
      </x:c>
    </x:row>
    <x:row r="157" ht="20" customHeight="1">
      <x:c r="A157" s="197" t="n">
        <x:v>10</x:v>
      </x:c>
      <x:c r="B157" s="242" t="n">
        <x:f>'診断'!$C$12*12*'診断'!$D$30*'診断'!$D$31*(1-'診断'!$C$19)^(A157-1)</x:f>
        <x:v>1416628.3551259034</x:v>
      </x:c>
      <x:c r="C157" s="242" t="n">
        <x:f>(('診断'!$C$13+'診断'!$C$14)*12+'診断'!$C$21+'診断'!$C$22+B157*'診断'!$C$15)*'診断'!$D$33+'診断'!$C$23*'診断'!$D$34</x:f>
        <x:v>520831.4177562952</x:v>
      </x:c>
      <x:c r="D157" s="242" t="n">
        <x:f>B157-C157</x:f>
        <x:v>895796.9373696082</x:v>
      </x:c>
      <x:c r="E157" s="242" t="n">
        <x:f>IF(A157&lt;='診断'!$C$11,-PMT('診断'!$D$32/12,'診断'!$C$11*12,'診断'!$C$9)*12,0)</x:f>
        <x:v>1387114.7359884677</x:v>
      </x:c>
      <x:c r="F157" s="242" t="n">
        <x:f>D157-E157</x:f>
        <x:v>-491317.7986188595</x:v>
      </x:c>
      <x:c r="G157" s="242" t="n">
        <x:f>G156+F157</x:f>
        <x:v>-4604737.896436727</x:v>
      </x:c>
      <x:c r="H157" s="242" t="n">
        <x:f>H156+MAX(0,-F157)</x:f>
        <x:v>4604737.896436727</x:v>
      </x:c>
      <x:c r="I157" s="242" t="n">
        <x:f>IF(A157&gt;='診断'!$C$11,0,MAX(0,-FV('診断'!$D$32/12,A157*12,PMT('診断'!$D$32/12,'診断'!$C$11*12,'診断'!$C$9),'診断'!$C$9)))</x:f>
        <x:v>27908504.015917584</x:v>
      </x:c>
      <x:c r="J157" s="242" t="n">
        <x:f>'診断'!$C$7*(1+'診断'!$D$35)^A157</x:f>
        <x:v>31653372.625308156</x:v>
      </x:c>
      <x:c r="K157" s="242" t="n">
        <x:f>J157*(1-'診断'!$C$24)-'診断'!$C$25-I157</x:f>
        <x:v>2600307.312755402</x:v>
      </x:c>
      <x:c r="L157" s="242" t="n">
        <x:f>MAX(E157-MAX(I156-I157,0),0)</x:f>
        <x:v>510919.4515660701</x:v>
      </x:c>
      <x:c r="M157" s="242" t="n">
        <x:f>IF(OR($AI$20&lt;&gt;"OK",A157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156-1,0)))</x:f>
        <x:v>0</x:v>
      </x:c>
      <x:c r="N157" s="242" t="n">
        <x:f>IF(OR($AI$20&lt;&gt;"OK",A157&gt;'診断'!$C$16),0,MIN('診断'!$C$50*(1-'診断'!$C$53)*ROUNDUP(1/MAX(2,ROUNDDOWN(IF('診断'!$C$52&gt;=15,15*20%,(15-'診断'!$C$52)+'診断'!$C$52*20%),0)),3)*(12)/12,MAX(AA156-1,0)))</x:f>
        <x:v>0</x:v>
      </x:c>
      <x:c r="O157" s="242" t="n">
        <x:f>M157+N157</x:f>
        <x:v>0</x:v>
      </x:c>
      <x:c r="P157" s="134" t="n">
        <x:f>B157-C157-L157-O157</x:f>
        <x:v>384877.4858035381</x:v>
      </x:c>
      <x:c r="Q157" s="134" t="n">
        <x:f>L157*IF('診断'!$C$9&gt;0,$AI$17/'診断'!$C$9,0)</x:f>
        <x:v>496727.2445781237</x:v>
      </x:c>
      <x:c r="R157" s="134" t="n">
        <x:f>IF(P157&gt;=0,P157,MIN(0,P157+Q157))</x:f>
        <x:v>384877.4858035381</x:v>
      </x:c>
      <x:c r="S157" s="134" t="n">
        <x:f>ROUNDDOWN(MAX(($AI$8+R157)-IF(($AI$8+R157)&lt;=4890000,1040000,IF(($AI$8+R157)&lt;=6550000,670000,IF(($AI$8+R157)&lt;=23500000,620000,IF(($AI$8+R157)&lt;=24000000,480000,IF(($AI$8+R157)&lt;=24500000,320000,IF(($AI$8+R157)&lt;=25000000,160000,0))))))-$AI$10,0),-3)</x:f>
        <x:v>6314000</x:v>
      </x:c>
      <x:c r="T157" s="134" t="n">
        <x:f>ROUNDDOWN(MAX(IF(S157&lt;=1949000,S157*5%,IF(S157&lt;=3299000,S157*10%-97500,IF(S157&lt;=6949000,S157*20%-427500,IF(S157&lt;=8999000,S157*23%-636000,IF(S157&lt;=17999000,S157*33%-1536000,IF(S157&lt;=39999000,S157*40%-2796000,S157*45%-4796000)))))),0),-2)+ROUNDDOWN(ROUNDDOWN(MAX(IF(S157&lt;=1949000,S157*5%,IF(S157&lt;=3299000,S157*10%-97500,IF(S157&lt;=6949000,S157*20%-427500,IF(S157&lt;=8999000,S157*23%-636000,IF(S157&lt;=17999000,S157*33%-1536000,IF(S157&lt;=39999000,S157*40%-2796000,S157*45%-4796000)))))),0),-2)*2.1%,0)</x:f>
        <x:v>852841</x:v>
      </x:c>
      <x:c r="U157" s="134" t="n">
        <x:f>ROUNDDOWN(MAX(($AI$8+R157)-IF(($AI$8+R157)&lt;=24000000,430000,IF(($AI$8+R157)&lt;=24500000,290000,IF(($AI$8+R157)&lt;=25000000,150000,0)))-$AI$10,0),-3)</x:f>
        <x:v>6504000</x:v>
      </x:c>
      <x:c r="V157" s="134" t="n">
        <x:f>ROUNDDOWN(U157*10%,0)+5000</x:f>
        <x:v>655400</x:v>
      </x:c>
      <x:c r="W157" s="134" t="n">
        <x:f>IF($AI$20="OK",$AI$16-(T157+V157),0)</x:f>
        <x:v>0</x:v>
      </x:c>
      <x:c r="X157" s="134" t="n">
        <x:f>F157+W157</x:f>
        <x:v>-491317.7986188595</x:v>
      </x:c>
      <x:c r="Y157" s="134" t="n">
        <x:f>Y156+X157</x:f>
        <x:v>-4604737.896436727</x:v>
      </x:c>
      <x:c r="Z157" s="134" t="n">
        <x:f>MAX(Z156-M157,0)</x:f>
        <x:v>0</x:v>
      </x:c>
      <x:c r="AA157" s="134" t="n">
        <x:f>MAX(AA156-N157,0)</x:f>
        <x:v>0</x:v>
      </x:c>
      <x:c r="AB157" s="134" t="n">
        <x:f>MAX('診断'!$C$7-'診断'!$C$50,0)+Z157+AA157+'診断'!$C$57</x:f>
        <x:v>35000000</x:v>
      </x:c>
      <x:c r="AC157" s="134" t="n">
        <x:f>MAX(J157-AB157-(J157*'診断'!$C$24+'診断'!$C$25)-'診断'!$C$58,0)</x:f>
        <x:v>0</x:v>
      </x:c>
      <x:c r="AD157" s="134" t="n">
        <x:f>IF($AI$20&lt;&gt;"OK",0,AC157*IF(AG157="長期",15%+5%+15%*2.1%,30%+9%+30%*2.1%))</x:f>
        <x:v>0</x:v>
      </x:c>
      <x:c r="AE157" s="134" t="n">
        <x:f>J157-(J157*'診断'!$C$24+'診断'!$C$25)-I157-AD157</x:f>
        <x:v>2600307.312755402</x:v>
      </x:c>
      <x:c r="AF157" s="134" t="n">
        <x:f>Y157+AE157-MAX(0,'診断'!$C$7+'診断'!$C$8-'診断'!$C$9)</x:f>
        <x:v>-2504430.5836813245</x:v>
      </x:c>
      <x:c r="AG157" s="406" t="str">
        <x:f>IF('診断'!$C$49&lt;DATE(YEAR('診断'!$C$49)+A157-1-5,1,1),"長期","短期")</x:f>
        <x:v>長期</x:v>
      </x:c>
    </x:row>
    <x:row r="158" ht="20" customHeight="1">
      <x:c r="A158" s="197" t="n">
        <x:v>11</x:v>
      </x:c>
      <x:c r="B158" s="242" t="n">
        <x:f>'診断'!$C$12*12*'診断'!$D$30*'診断'!$D$31*(1-'診断'!$C$19)^(A158-1)</x:f>
        <x:v>1409545.213350274</x:v>
      </x:c>
      <x:c r="C158" s="242" t="n">
        <x:f>(('診断'!$C$13+'診断'!$C$14)*12+'診断'!$C$21+'診断'!$C$22+B158*'診断'!$C$15)*'診断'!$D$33+'診断'!$C$23*'診断'!$D$34</x:f>
        <x:v>520477.2606675137</x:v>
      </x:c>
      <x:c r="D158" s="242" t="n">
        <x:f>B158-C158</x:f>
        <x:v>889067.9526827602</x:v>
      </x:c>
      <x:c r="E158" s="242" t="n">
        <x:f>IF(A158&lt;='診断'!$C$11,-PMT('診断'!$D$32/12,'診断'!$C$11*12,'診断'!$C$9)*12,0)</x:f>
        <x:v>1387114.7359884677</x:v>
      </x:c>
      <x:c r="F158" s="242" t="n">
        <x:f>D158-E158</x:f>
        <x:v>-498046.7833057075</x:v>
      </x:c>
      <x:c r="G158" s="242" t="n">
        <x:f>G157+F158</x:f>
        <x:v>-5102784.679742434</x:v>
      </x:c>
      <x:c r="H158" s="242" t="n">
        <x:f>H157+MAX(0,-F158)</x:f>
        <x:v>5102784.679742434</x:v>
      </x:c>
      <x:c r="I158" s="242" t="n">
        <x:f>IF(A158&gt;='診断'!$C$11,0,MAX(0,-FV('診断'!$D$32/12,A158*12,PMT('診断'!$D$32/12,'診断'!$C$11*12,'診断'!$C$9),'診断'!$C$9)))</x:f>
        <x:v>27016406.44859988</x:v>
      </x:c>
      <x:c r="J158" s="242" t="n">
        <x:f>'診断'!$C$7*(1+'診断'!$D$35)^A158</x:f>
        <x:v>31336838.899055075</x:v>
      </x:c>
      <x:c r="K158" s="242" t="n">
        <x:f>J158*(1-'診断'!$C$24)-'診断'!$C$25-I158</x:f>
        <x:v>3186316.766786378</x:v>
      </x:c>
      <x:c r="L158" s="242" t="n">
        <x:f>MAX(E158-MAX(I157-I158,0),0)</x:f>
        <x:v>495017.1686707621</x:v>
      </x:c>
      <x:c r="M158" s="242" t="n">
        <x:f>IF(OR($AI$20&lt;&gt;"OK",A158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157-1,0)))</x:f>
        <x:v>0</x:v>
      </x:c>
      <x:c r="N158" s="242" t="n">
        <x:f>IF(OR($AI$20&lt;&gt;"OK",A158&gt;'診断'!$C$16),0,MIN('診断'!$C$50*(1-'診断'!$C$53)*ROUNDUP(1/MAX(2,ROUNDDOWN(IF('診断'!$C$52&gt;=15,15*20%,(15-'診断'!$C$52)+'診断'!$C$52*20%),0)),3)*(12)/12,MAX(AA157-1,0)))</x:f>
        <x:v>0</x:v>
      </x:c>
      <x:c r="O158" s="242" t="n">
        <x:f>M158+N158</x:f>
        <x:v>0</x:v>
      </x:c>
      <x:c r="P158" s="134" t="n">
        <x:f>B158-C158-L158-O158</x:f>
        <x:v>394050.7840119981</x:v>
      </x:c>
      <x:c r="Q158" s="134" t="n">
        <x:f>L158*IF('診断'!$C$9&gt;0,$AI$17/'診断'!$C$9,0)</x:f>
        <x:v>481266.6917632409</x:v>
      </x:c>
      <x:c r="R158" s="134" t="n">
        <x:f>IF(P158&gt;=0,P158,MIN(0,P158+Q158))</x:f>
        <x:v>394050.7840119981</x:v>
      </x:c>
      <x:c r="S158" s="134" t="n">
        <x:f>ROUNDDOWN(MAX(($AI$8+R158)-IF(($AI$8+R158)&lt;=4890000,1040000,IF(($AI$8+R158)&lt;=6550000,670000,IF(($AI$8+R158)&lt;=23500000,620000,IF(($AI$8+R158)&lt;=24000000,480000,IF(($AI$8+R158)&lt;=24500000,320000,IF(($AI$8+R158)&lt;=25000000,160000,0))))))-$AI$10,0),-3)</x:f>
        <x:v>6324000</x:v>
      </x:c>
      <x:c r="T158" s="134" t="n">
        <x:f>ROUNDDOWN(MAX(IF(S158&lt;=1949000,S158*5%,IF(S158&lt;=3299000,S158*10%-97500,IF(S158&lt;=6949000,S158*20%-427500,IF(S158&lt;=8999000,S158*23%-636000,IF(S158&lt;=17999000,S158*33%-1536000,IF(S158&lt;=39999000,S158*40%-2796000,S158*45%-4796000)))))),0),-2)+ROUNDDOWN(ROUNDDOWN(MAX(IF(S158&lt;=1949000,S158*5%,IF(S158&lt;=3299000,S158*10%-97500,IF(S158&lt;=6949000,S158*20%-427500,IF(S158&lt;=8999000,S158*23%-636000,IF(S158&lt;=17999000,S158*33%-1536000,IF(S158&lt;=39999000,S158*40%-2796000,S158*45%-4796000)))))),0),-2)*2.1%,0)</x:f>
        <x:v>854883</x:v>
      </x:c>
      <x:c r="U158" s="134" t="n">
        <x:f>ROUNDDOWN(MAX(($AI$8+R158)-IF(($AI$8+R158)&lt;=24000000,430000,IF(($AI$8+R158)&lt;=24500000,290000,IF(($AI$8+R158)&lt;=25000000,150000,0)))-$AI$10,0),-3)</x:f>
        <x:v>6514000</x:v>
      </x:c>
      <x:c r="V158" s="134" t="n">
        <x:f>ROUNDDOWN(U158*10%,0)+5000</x:f>
        <x:v>656400</x:v>
      </x:c>
      <x:c r="W158" s="134" t="n">
        <x:f>IF($AI$20="OK",$AI$16-(T158+V158),0)</x:f>
        <x:v>0</x:v>
      </x:c>
      <x:c r="X158" s="134" t="n">
        <x:f>F158+W158</x:f>
        <x:v>-498046.7833057075</x:v>
      </x:c>
      <x:c r="Y158" s="134" t="n">
        <x:f>Y157+X158</x:f>
        <x:v>-5102784.679742434</x:v>
      </x:c>
      <x:c r="Z158" s="134" t="n">
        <x:f>MAX(Z157-M158,0)</x:f>
        <x:v>0</x:v>
      </x:c>
      <x:c r="AA158" s="134" t="n">
        <x:f>MAX(AA157-N158,0)</x:f>
        <x:v>0</x:v>
      </x:c>
      <x:c r="AB158" s="134" t="n">
        <x:f>MAX('診断'!$C$7-'診断'!$C$50,0)+Z158+AA158+'診断'!$C$57</x:f>
        <x:v>35000000</x:v>
      </x:c>
      <x:c r="AC158" s="134" t="n">
        <x:f>MAX(J158-AB158-(J158*'診断'!$C$24+'診断'!$C$25)-'診断'!$C$58,0)</x:f>
        <x:v>0</x:v>
      </x:c>
      <x:c r="AD158" s="134" t="n">
        <x:f>IF($AI$20&lt;&gt;"OK",0,AC158*IF(AG158="長期",15%+5%+15%*2.1%,30%+9%+30%*2.1%))</x:f>
        <x:v>0</x:v>
      </x:c>
      <x:c r="AE158" s="134" t="n">
        <x:f>J158-(J158*'診断'!$C$24+'診断'!$C$25)-I158-AD158</x:f>
        <x:v>3186316.766786378</x:v>
      </x:c>
      <x:c r="AF158" s="134" t="n">
        <x:f>Y158+AE158-MAX(0,'診断'!$C$7+'診断'!$C$8-'診断'!$C$9)</x:f>
        <x:v>-2416467.912956056</x:v>
      </x:c>
      <x:c r="AG158" s="406" t="str">
        <x:f>IF('診断'!$C$49&lt;DATE(YEAR('診断'!$C$49)+A158-1-5,1,1),"長期","短期")</x:f>
        <x:v>長期</x:v>
      </x:c>
    </x:row>
    <x:row r="159" ht="20" customHeight="1">
      <x:c r="A159" s="197" t="n">
        <x:v>12</x:v>
      </x:c>
      <x:c r="B159" s="242" t="n">
        <x:f>'診断'!$C$12*12*'診断'!$D$30*'診断'!$D$31*(1-'診断'!$C$19)^(A159-1)</x:f>
        <x:v>1402497.4872835225</x:v>
      </x:c>
      <x:c r="C159" s="242" t="n">
        <x:f>(('診断'!$C$13+'診断'!$C$14)*12+'診断'!$C$21+'診断'!$C$22+B159*'診断'!$C$15)*'診断'!$D$33+'診断'!$C$23*'診断'!$D$34</x:f>
        <x:v>520124.8743641761</x:v>
      </x:c>
      <x:c r="D159" s="242" t="n">
        <x:f>B159-C159</x:f>
        <x:v>882372.6129193464</x:v>
      </x:c>
      <x:c r="E159" s="242" t="n">
        <x:f>IF(A159&lt;='診断'!$C$11,-PMT('診断'!$D$32/12,'診断'!$C$11*12,'診断'!$C$9)*12,0)</x:f>
        <x:v>1387114.7359884677</x:v>
      </x:c>
      <x:c r="F159" s="242" t="n">
        <x:f>D159-E159</x:f>
        <x:v>-504742.12306912127</x:v>
      </x:c>
      <x:c r="G159" s="242" t="n">
        <x:f>G158+F159</x:f>
        <x:v>-5607526.802811556</x:v>
      </x:c>
      <x:c r="H159" s="242" t="n">
        <x:f>H158+MAX(0,-F159)</x:f>
        <x:v>5607526.802811556</x:v>
      </x:c>
      <x:c r="I159" s="242" t="n">
        <x:f>IF(A159&gt;='診断'!$C$11,0,MAX(0,-FV('診断'!$D$32/12,A159*12,PMT('診断'!$D$32/12,'診断'!$C$11*12,'診断'!$C$9),'診断'!$C$9)))</x:f>
        <x:v>26108117.98395835</x:v>
      </x:c>
      <x:c r="J159" s="242" t="n">
        <x:f>'診断'!$C$7*(1+'診断'!$D$35)^A159</x:f>
        <x:v>31023470.510064524</x:v>
      </x:c>
      <x:c r="K159" s="242" t="n">
        <x:f>J159*(1-'診断'!$C$24)-'診断'!$C$25-I159</x:f>
        <x:v>3791577.999274045</x:v>
      </x:c>
      <x:c r="L159" s="242" t="n">
        <x:f>MAX(E159-MAX(I158-I159,0),0)</x:f>
        <x:v>478826.27134693763</x:v>
      </x:c>
      <x:c r="M159" s="242" t="n">
        <x:f>IF(OR($AI$20&lt;&gt;"OK",A159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158-1,0)))</x:f>
        <x:v>0</x:v>
      </x:c>
      <x:c r="N159" s="242" t="n">
        <x:f>IF(OR($AI$20&lt;&gt;"OK",A159&gt;'診断'!$C$16),0,MIN('診断'!$C$50*(1-'診断'!$C$53)*ROUNDUP(1/MAX(2,ROUNDDOWN(IF('診断'!$C$52&gt;=15,15*20%,(15-'診断'!$C$52)+'診断'!$C$52*20%),0)),3)*(12)/12,MAX(AA158-1,0)))</x:f>
        <x:v>0</x:v>
      </x:c>
      <x:c r="O159" s="242" t="n">
        <x:f>M159+N159</x:f>
        <x:v>0</x:v>
      </x:c>
      <x:c r="P159" s="134" t="n">
        <x:f>B159-C159-L159-O159</x:f>
        <x:v>403546.3415724088</x:v>
      </x:c>
      <x:c r="Q159" s="134" t="n">
        <x:f>L159*IF('診断'!$C$9&gt;0,$AI$17/'診断'!$C$9,0)</x:f>
        <x:v>465525.5415873005</x:v>
      </x:c>
      <x:c r="R159" s="134" t="n">
        <x:f>IF(P159&gt;=0,P159,MIN(0,P159+Q159))</x:f>
        <x:v>403546.3415724088</x:v>
      </x:c>
      <x:c r="S159" s="134" t="n">
        <x:f>ROUNDDOWN(MAX(($AI$8+R159)-IF(($AI$8+R159)&lt;=4890000,1040000,IF(($AI$8+R159)&lt;=6550000,670000,IF(($AI$8+R159)&lt;=23500000,620000,IF(($AI$8+R159)&lt;=24000000,480000,IF(($AI$8+R159)&lt;=24500000,320000,IF(($AI$8+R159)&lt;=25000000,160000,0))))))-$AI$10,0),-3)</x:f>
        <x:v>6333000</x:v>
      </x:c>
      <x:c r="T159" s="134" t="n">
        <x:f>ROUNDDOWN(MAX(IF(S159&lt;=1949000,S159*5%,IF(S159&lt;=3299000,S159*10%-97500,IF(S159&lt;=6949000,S159*20%-427500,IF(S159&lt;=8999000,S159*23%-636000,IF(S159&lt;=17999000,S159*33%-1536000,IF(S159&lt;=39999000,S159*40%-2796000,S159*45%-4796000)))))),0),-2)+ROUNDDOWN(ROUNDDOWN(MAX(IF(S159&lt;=1949000,S159*5%,IF(S159&lt;=3299000,S159*10%-97500,IF(S159&lt;=6949000,S159*20%-427500,IF(S159&lt;=8999000,S159*23%-636000,IF(S159&lt;=17999000,S159*33%-1536000,IF(S159&lt;=39999000,S159*40%-2796000,S159*45%-4796000)))))),0),-2)*2.1%,0)</x:f>
        <x:v>856721</x:v>
      </x:c>
      <x:c r="U159" s="134" t="n">
        <x:f>ROUNDDOWN(MAX(($AI$8+R159)-IF(($AI$8+R159)&lt;=24000000,430000,IF(($AI$8+R159)&lt;=24500000,290000,IF(($AI$8+R159)&lt;=25000000,150000,0)))-$AI$10,0),-3)</x:f>
        <x:v>6523000</x:v>
      </x:c>
      <x:c r="V159" s="134" t="n">
        <x:f>ROUNDDOWN(U159*10%,0)+5000</x:f>
        <x:v>657300</x:v>
      </x:c>
      <x:c r="W159" s="134" t="n">
        <x:f>IF($AI$20="OK",$AI$16-(T159+V159),0)</x:f>
        <x:v>0</x:v>
      </x:c>
      <x:c r="X159" s="134" t="n">
        <x:f>F159+W159</x:f>
        <x:v>-504742.12306912127</x:v>
      </x:c>
      <x:c r="Y159" s="134" t="n">
        <x:f>Y158+X159</x:f>
        <x:v>-5607526.802811556</x:v>
      </x:c>
      <x:c r="Z159" s="134" t="n">
        <x:f>MAX(Z158-M159,0)</x:f>
        <x:v>0</x:v>
      </x:c>
      <x:c r="AA159" s="134" t="n">
        <x:f>MAX(AA158-N159,0)</x:f>
        <x:v>0</x:v>
      </x:c>
      <x:c r="AB159" s="134" t="n">
        <x:f>MAX('診断'!$C$7-'診断'!$C$50,0)+Z159+AA159+'診断'!$C$57</x:f>
        <x:v>35000000</x:v>
      </x:c>
      <x:c r="AC159" s="134" t="n">
        <x:f>MAX(J159-AB159-(J159*'診断'!$C$24+'診断'!$C$25)-'診断'!$C$58,0)</x:f>
        <x:v>0</x:v>
      </x:c>
      <x:c r="AD159" s="134" t="n">
        <x:f>IF($AI$20&lt;&gt;"OK",0,AC159*IF(AG159="長期",15%+5%+15%*2.1%,30%+9%+30%*2.1%))</x:f>
        <x:v>0</x:v>
      </x:c>
      <x:c r="AE159" s="134" t="n">
        <x:f>J159-(J159*'診断'!$C$24+'診断'!$C$25)-I159-AD159</x:f>
        <x:v>3791577.999274045</x:v>
      </x:c>
      <x:c r="AF159" s="134" t="n">
        <x:f>Y159+AE159-MAX(0,'診断'!$C$7+'診断'!$C$8-'診断'!$C$9)</x:f>
        <x:v>-2315948.8035375103</x:v>
      </x:c>
      <x:c r="AG159" s="406" t="str">
        <x:f>IF('診断'!$C$49&lt;DATE(YEAR('診断'!$C$49)+A159-1-5,1,1),"長期","短期")</x:f>
        <x:v>長期</x:v>
      </x:c>
    </x:row>
    <x:row r="160" ht="20" customHeight="1">
      <x:c r="A160" s="197" t="n">
        <x:v>13</x:v>
      </x:c>
      <x:c r="B160" s="242" t="n">
        <x:f>'診断'!$C$12*12*'診断'!$D$30*'診断'!$D$31*(1-'診断'!$C$19)^(A160-1)</x:f>
        <x:v>1395484.9998471048</x:v>
      </x:c>
      <x:c r="C160" s="242" t="n">
        <x:f>(('診断'!$C$13+'診断'!$C$14)*12+'診断'!$C$21+'診断'!$C$22+B160*'診断'!$C$15)*'診断'!$D$33+'診断'!$C$23*'診断'!$D$34</x:f>
        <x:v>519774.24999235524</x:v>
      </x:c>
      <x:c r="D160" s="242" t="n">
        <x:f>B160-C160</x:f>
        <x:v>875710.7498547495</x:v>
      </x:c>
      <x:c r="E160" s="242" t="n">
        <x:f>IF(A160&lt;='診断'!$C$11,-PMT('診断'!$D$32/12,'診断'!$C$11*12,'診断'!$C$9)*12,0)</x:f>
        <x:v>1387114.7359884677</x:v>
      </x:c>
      <x:c r="F160" s="242" t="n">
        <x:f>D160-E160</x:f>
        <x:v>-511403.98613371816</x:v>
      </x:c>
      <x:c r="G160" s="242" t="n">
        <x:f>G159+F160</x:f>
        <x:v>-6118930.7889452735</x:v>
      </x:c>
      <x:c r="H160" s="242" t="n">
        <x:f>H159+MAX(0,-F160)</x:f>
        <x:v>6118930.7889452735</x:v>
      </x:c>
      <x:c r="I160" s="242" t="n">
        <x:f>IF(A160&gt;='診断'!$C$11,0,MAX(0,-FV('診断'!$D$32/12,A160*12,PMT('診断'!$D$32/12,'診断'!$C$11*12,'診断'!$C$9),'診断'!$C$9)))</x:f>
        <x:v>25183344.769430496</x:v>
      </x:c>
      <x:c r="J160" s="242" t="n">
        <x:f>'診断'!$C$7*(1+'診断'!$D$35)^A160</x:f>
        <x:v>30713235.804963876</x:v>
      </x:c>
      <x:c r="K160" s="242" t="n">
        <x:f>J160*(1-'診断'!$C$24)-'診断'!$C$25-I160</x:f>
        <x:v>4416354.2539695725</x:v>
      </x:c>
      <x:c r="L160" s="242" t="n">
        <x:f>MAX(E160-MAX(I159-I160,0),0)</x:f>
        <x:v>462341.52146061487</x:v>
      </x:c>
      <x:c r="M160" s="242" t="n">
        <x:f>IF(OR($AI$20&lt;&gt;"OK",A160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159-1,0)))</x:f>
        <x:v>0</x:v>
      </x:c>
      <x:c r="N160" s="242" t="n">
        <x:f>IF(OR($AI$20&lt;&gt;"OK",A160&gt;'診断'!$C$16),0,MIN('診断'!$C$50*(1-'診断'!$C$53)*ROUNDUP(1/MAX(2,ROUNDDOWN(IF('診断'!$C$52&gt;=15,15*20%,(15-'診断'!$C$52)+'診断'!$C$52*20%),0)),3)*(12)/12,MAX(AA159-1,0)))</x:f>
        <x:v>0</x:v>
      </x:c>
      <x:c r="O160" s="242" t="n">
        <x:f>M160+N160</x:f>
        <x:v>0</x:v>
      </x:c>
      <x:c r="P160" s="134" t="n">
        <x:f>B160-C160-L160-O160</x:f>
        <x:v>413369.22839413467</x:v>
      </x:c>
      <x:c r="Q160" s="134" t="n">
        <x:f>L160*IF('診断'!$C$9&gt;0,$AI$17/'診断'!$C$9,0)</x:f>
        <x:v>449498.7014200422</x:v>
      </x:c>
      <x:c r="R160" s="134" t="n">
        <x:f>IF(P160&gt;=0,P160,MIN(0,P160+Q160))</x:f>
        <x:v>413369.22839413467</x:v>
      </x:c>
      <x:c r="S160" s="134" t="n">
        <x:f>ROUNDDOWN(MAX(($AI$8+R160)-IF(($AI$8+R160)&lt;=4890000,1040000,IF(($AI$8+R160)&lt;=6550000,670000,IF(($AI$8+R160)&lt;=23500000,620000,IF(($AI$8+R160)&lt;=24000000,480000,IF(($AI$8+R160)&lt;=24500000,320000,IF(($AI$8+R160)&lt;=25000000,160000,0))))))-$AI$10,0),-3)</x:f>
        <x:v>6343000</x:v>
      </x:c>
      <x:c r="T160" s="134" t="n">
        <x:f>ROUNDDOWN(MAX(IF(S160&lt;=1949000,S160*5%,IF(S160&lt;=3299000,S160*10%-97500,IF(S160&lt;=6949000,S160*20%-427500,IF(S160&lt;=8999000,S160*23%-636000,IF(S160&lt;=17999000,S160*33%-1536000,IF(S160&lt;=39999000,S160*40%-2796000,S160*45%-4796000)))))),0),-2)+ROUNDDOWN(ROUNDDOWN(MAX(IF(S160&lt;=1949000,S160*5%,IF(S160&lt;=3299000,S160*10%-97500,IF(S160&lt;=6949000,S160*20%-427500,IF(S160&lt;=8999000,S160*23%-636000,IF(S160&lt;=17999000,S160*33%-1536000,IF(S160&lt;=39999000,S160*40%-2796000,S160*45%-4796000)))))),0),-2)*2.1%,0)</x:f>
        <x:v>858763</x:v>
      </x:c>
      <x:c r="U160" s="134" t="n">
        <x:f>ROUNDDOWN(MAX(($AI$8+R160)-IF(($AI$8+R160)&lt;=24000000,430000,IF(($AI$8+R160)&lt;=24500000,290000,IF(($AI$8+R160)&lt;=25000000,150000,0)))-$AI$10,0),-3)</x:f>
        <x:v>6533000</x:v>
      </x:c>
      <x:c r="V160" s="134" t="n">
        <x:f>ROUNDDOWN(U160*10%,0)+5000</x:f>
        <x:v>658300</x:v>
      </x:c>
      <x:c r="W160" s="134" t="n">
        <x:f>IF($AI$20="OK",$AI$16-(T160+V160),0)</x:f>
        <x:v>0</x:v>
      </x:c>
      <x:c r="X160" s="134" t="n">
        <x:f>F160+W160</x:f>
        <x:v>-511403.98613371816</x:v>
      </x:c>
      <x:c r="Y160" s="134" t="n">
        <x:f>Y159+X160</x:f>
        <x:v>-6118930.7889452735</x:v>
      </x:c>
      <x:c r="Z160" s="134" t="n">
        <x:f>MAX(Z159-M160,0)</x:f>
        <x:v>0</x:v>
      </x:c>
      <x:c r="AA160" s="134" t="n">
        <x:f>MAX(AA159-N160,0)</x:f>
        <x:v>0</x:v>
      </x:c>
      <x:c r="AB160" s="134" t="n">
        <x:f>MAX('診断'!$C$7-'診断'!$C$50,0)+Z160+AA160+'診断'!$C$57</x:f>
        <x:v>35000000</x:v>
      </x:c>
      <x:c r="AC160" s="134" t="n">
        <x:f>MAX(J160-AB160-(J160*'診断'!$C$24+'診断'!$C$25)-'診断'!$C$58,0)</x:f>
        <x:v>0</x:v>
      </x:c>
      <x:c r="AD160" s="134" t="n">
        <x:f>IF($AI$20&lt;&gt;"OK",0,AC160*IF(AG160="長期",15%+5%+15%*2.1%,30%+9%+30%*2.1%))</x:f>
        <x:v>0</x:v>
      </x:c>
      <x:c r="AE160" s="134" t="n">
        <x:f>J160-(J160*'診断'!$C$24+'診断'!$C$25)-I160-AD160</x:f>
        <x:v>4416354.2539695725</x:v>
      </x:c>
      <x:c r="AF160" s="134" t="n">
        <x:f>Y160+AE160-MAX(0,'診断'!$C$7+'診断'!$C$8-'診断'!$C$9)</x:f>
        <x:v>-2202576.534975701</x:v>
      </x:c>
      <x:c r="AG160" s="406" t="str">
        <x:f>IF('診断'!$C$49&lt;DATE(YEAR('診断'!$C$49)+A160-1-5,1,1),"長期","短期")</x:f>
        <x:v>長期</x:v>
      </x:c>
    </x:row>
    <x:row r="161" ht="20" customHeight="1">
      <x:c r="A161" s="197" t="n">
        <x:v>14</x:v>
      </x:c>
      <x:c r="B161" s="242" t="n">
        <x:f>'診断'!$C$12*12*'診断'!$D$30*'診断'!$D$31*(1-'診断'!$C$19)^(A161-1)</x:f>
        <x:v>1388507.5748478693</x:v>
      </x:c>
      <x:c r="C161" s="242" t="n">
        <x:f>(('診断'!$C$13+'診断'!$C$14)*12+'診断'!$C$21+'診断'!$C$22+B161*'診断'!$C$15)*'診断'!$D$33+'診断'!$C$23*'診断'!$D$34</x:f>
        <x:v>519425.37874239346</x:v>
      </x:c>
      <x:c r="D161" s="242" t="n">
        <x:f>B161-C161</x:f>
        <x:v>869082.1961054759</x:v>
      </x:c>
      <x:c r="E161" s="242" t="n">
        <x:f>IF(A161&lt;='診断'!$C$11,-PMT('診断'!$D$32/12,'診断'!$C$11*12,'診断'!$C$9)*12,0)</x:f>
        <x:v>1387114.7359884677</x:v>
      </x:c>
      <x:c r="F161" s="242" t="n">
        <x:f>D161-E161</x:f>
        <x:v>-518032.5398829918</x:v>
      </x:c>
      <x:c r="G161" s="242" t="n">
        <x:f>G160+F161</x:f>
        <x:v>-6636963.328828265</x:v>
      </x:c>
      <x:c r="H161" s="242" t="n">
        <x:f>H160+MAX(0,-F161)</x:f>
        <x:v>6636963.328828265</x:v>
      </x:c>
      <x:c r="I161" s="242" t="n">
        <x:f>IF(A161&gt;='診断'!$C$11,0,MAX(0,-FV('診断'!$D$32/12,A161*12,PMT('診断'!$D$32/12,'診断'!$C$11*12,'診断'!$C$9),'診断'!$C$9)))</x:f>
        <x:v>24241787.619251676</x:v>
      </x:c>
      <x:c r="J161" s="242" t="n">
        <x:f>'診断'!$C$7*(1+'診断'!$D$35)^A161</x:f>
        <x:v>30406103.446914237</x:v>
      </x:c>
      <x:c r="K161" s="242" t="n">
        <x:f>J161*(1-'診断'!$C$24)-'診断'!$C$25-I161</x:f>
        <x:v>5060914.41391439</x:v>
      </x:c>
      <x:c r="L161" s="242" t="n">
        <x:f>MAX(E161-MAX(I160-I161,0),0)</x:f>
        <x:v>445557.5858096478</x:v>
      </x:c>
      <x:c r="M161" s="242" t="n">
        <x:f>IF(OR($AI$20&lt;&gt;"OK",A161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160-1,0)))</x:f>
        <x:v>0</x:v>
      </x:c>
      <x:c r="N161" s="242" t="n">
        <x:f>IF(OR($AI$20&lt;&gt;"OK",A161&gt;'診断'!$C$16),0,MIN('診断'!$C$50*(1-'診断'!$C$53)*ROUNDUP(1/MAX(2,ROUNDDOWN(IF('診断'!$C$52&gt;=15,15*20%,(15-'診断'!$C$52)+'診断'!$C$52*20%),0)),3)*(12)/12,MAX(AA160-1,0)))</x:f>
        <x:v>0</x:v>
      </x:c>
      <x:c r="O161" s="242" t="n">
        <x:f>M161+N161</x:f>
        <x:v>0</x:v>
      </x:c>
      <x:c r="P161" s="134" t="n">
        <x:f>B161-C161-L161-O161</x:f>
        <x:v>423524.6102958281</x:v>
      </x:c>
      <x:c r="Q161" s="134" t="n">
        <x:f>L161*IF('診断'!$C$9&gt;0,$AI$17/'診断'!$C$9,0)</x:f>
        <x:v>433180.9862038242</x:v>
      </x:c>
      <x:c r="R161" s="134" t="n">
        <x:f>IF(P161&gt;=0,P161,MIN(0,P161+Q161))</x:f>
        <x:v>423524.6102958281</x:v>
      </x:c>
      <x:c r="S161" s="134" t="n">
        <x:f>ROUNDDOWN(MAX(($AI$8+R161)-IF(($AI$8+R161)&lt;=4890000,1040000,IF(($AI$8+R161)&lt;=6550000,670000,IF(($AI$8+R161)&lt;=23500000,620000,IF(($AI$8+R161)&lt;=24000000,480000,IF(($AI$8+R161)&lt;=24500000,320000,IF(($AI$8+R161)&lt;=25000000,160000,0))))))-$AI$10,0),-3)</x:f>
        <x:v>6353000</x:v>
      </x:c>
      <x:c r="T161" s="134" t="n">
        <x:f>ROUNDDOWN(MAX(IF(S161&lt;=1949000,S161*5%,IF(S161&lt;=3299000,S161*10%-97500,IF(S161&lt;=6949000,S161*20%-427500,IF(S161&lt;=8999000,S161*23%-636000,IF(S161&lt;=17999000,S161*33%-1536000,IF(S161&lt;=39999000,S161*40%-2796000,S161*45%-4796000)))))),0),-2)+ROUNDDOWN(ROUNDDOWN(MAX(IF(S161&lt;=1949000,S161*5%,IF(S161&lt;=3299000,S161*10%-97500,IF(S161&lt;=6949000,S161*20%-427500,IF(S161&lt;=8999000,S161*23%-636000,IF(S161&lt;=17999000,S161*33%-1536000,IF(S161&lt;=39999000,S161*40%-2796000,S161*45%-4796000)))))),0),-2)*2.1%,0)</x:f>
        <x:v>860805</x:v>
      </x:c>
      <x:c r="U161" s="134" t="n">
        <x:f>ROUNDDOWN(MAX(($AI$8+R161)-IF(($AI$8+R161)&lt;=24000000,430000,IF(($AI$8+R161)&lt;=24500000,290000,IF(($AI$8+R161)&lt;=25000000,150000,0)))-$AI$10,0),-3)</x:f>
        <x:v>6543000</x:v>
      </x:c>
      <x:c r="V161" s="134" t="n">
        <x:f>ROUNDDOWN(U161*10%,0)+5000</x:f>
        <x:v>659300</x:v>
      </x:c>
      <x:c r="W161" s="134" t="n">
        <x:f>IF($AI$20="OK",$AI$16-(T161+V161),0)</x:f>
        <x:v>0</x:v>
      </x:c>
      <x:c r="X161" s="134" t="n">
        <x:f>F161+W161</x:f>
        <x:v>-518032.5398829918</x:v>
      </x:c>
      <x:c r="Y161" s="134" t="n">
        <x:f>Y160+X161</x:f>
        <x:v>-6636963.328828265</x:v>
      </x:c>
      <x:c r="Z161" s="134" t="n">
        <x:f>MAX(Z160-M161,0)</x:f>
        <x:v>0</x:v>
      </x:c>
      <x:c r="AA161" s="134" t="n">
        <x:f>MAX(AA160-N161,0)</x:f>
        <x:v>0</x:v>
      </x:c>
      <x:c r="AB161" s="134" t="n">
        <x:f>MAX('診断'!$C$7-'診断'!$C$50,0)+Z161+AA161+'診断'!$C$57</x:f>
        <x:v>35000000</x:v>
      </x:c>
      <x:c r="AC161" s="134" t="n">
        <x:f>MAX(J161-AB161-(J161*'診断'!$C$24+'診断'!$C$25)-'診断'!$C$58,0)</x:f>
        <x:v>0</x:v>
      </x:c>
      <x:c r="AD161" s="134" t="n">
        <x:f>IF($AI$20&lt;&gt;"OK",0,AC161*IF(AG161="長期",15%+5%+15%*2.1%,30%+9%+30%*2.1%))</x:f>
        <x:v>0</x:v>
      </x:c>
      <x:c r="AE161" s="134" t="n">
        <x:f>J161-(J161*'診断'!$C$24+'診断'!$C$25)-I161-AD161</x:f>
        <x:v>5060914.41391439</x:v>
      </x:c>
      <x:c r="AF161" s="134" t="n">
        <x:f>Y161+AE161-MAX(0,'診断'!$C$7+'診断'!$C$8-'診断'!$C$9)</x:f>
        <x:v>-2076048.914913875</x:v>
      </x:c>
      <x:c r="AG161" s="406" t="str">
        <x:f>IF('診断'!$C$49&lt;DATE(YEAR('診断'!$C$49)+A161-1-5,1,1),"長期","短期")</x:f>
        <x:v>長期</x:v>
      </x:c>
    </x:row>
    <x:row r="162" ht="20" customHeight="1">
      <x:c r="A162" s="197" t="n">
        <x:v>15</x:v>
      </x:c>
      <x:c r="B162" s="242" t="n">
        <x:f>'診断'!$C$12*12*'診断'!$D$30*'診断'!$D$31*(1-'診断'!$C$19)^(A162-1)</x:f>
        <x:v>1381565.03697363</x:v>
      </x:c>
      <x:c r="C162" s="242" t="n">
        <x:f>(('診断'!$C$13+'診断'!$C$14)*12+'診断'!$C$21+'診断'!$C$22+B162*'診断'!$C$15)*'診断'!$D$33+'診断'!$C$23*'診断'!$D$34</x:f>
        <x:v>519078.2518486815</x:v>
      </x:c>
      <x:c r="D162" s="242" t="n">
        <x:f>B162-C162</x:f>
        <x:v>862486.7851249486</x:v>
      </x:c>
      <x:c r="E162" s="242" t="n">
        <x:f>IF(A162&lt;='診断'!$C$11,-PMT('診断'!$D$32/12,'診断'!$C$11*12,'診断'!$C$9)*12,0)</x:f>
        <x:v>1387114.7359884677</x:v>
      </x:c>
      <x:c r="F162" s="242" t="n">
        <x:f>D162-E162</x:f>
        <x:v>-524627.9508635191</x:v>
      </x:c>
      <x:c r="G162" s="242" t="n">
        <x:f>G161+F162</x:f>
        <x:v>-7161591.279691784</x:v>
      </x:c>
      <x:c r="H162" s="242" t="n">
        <x:f>H161+MAX(0,-F162)</x:f>
        <x:v>7161591.279691784</x:v>
      </x:c>
      <x:c r="I162" s="242" t="n">
        <x:f>IF(A162&gt;='診断'!$C$11,0,MAX(0,-FV('診断'!$D$32/12,A162*12,PMT('診断'!$D$32/12,'診断'!$C$11*12,'診断'!$C$9),'診断'!$C$9)))</x:f>
        <x:v>23283141.91766151</x:v>
      </x:c>
      <x:c r="J162" s="242" t="n">
        <x:f>'診断'!$C$7*(1+'診断'!$D$35)^A162</x:f>
        <x:v>30102042.412445094</x:v>
      </x:c>
      <x:c r="K162" s="242" t="n">
        <x:f>J162*(1-'診断'!$C$24)-'診断'!$C$25-I162</x:f>
        <x:v>5725533.095172893</x:v>
      </x:c>
      <x:c r="L162" s="242" t="n">
        <x:f>MAX(E162-MAX(I161-I162,0),0)</x:f>
        <x:v>428469.0343983022</x:v>
      </x:c>
      <x:c r="M162" s="242" t="n">
        <x:f>IF(OR($AI$20&lt;&gt;"OK",A162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161-1,0)))</x:f>
        <x:v>0</x:v>
      </x:c>
      <x:c r="N162" s="242" t="n">
        <x:f>IF(OR($AI$20&lt;&gt;"OK",A162&gt;'診断'!$C$16),0,MIN('診断'!$C$50*(1-'診断'!$C$53)*ROUNDUP(1/MAX(2,ROUNDDOWN(IF('診断'!$C$52&gt;=15,15*20%,(15-'診断'!$C$52)+'診断'!$C$52*20%),0)),3)*(12)/12,MAX(AA161-1,0)))</x:f>
        <x:v>0</x:v>
      </x:c>
      <x:c r="O162" s="242" t="n">
        <x:f>M162+N162</x:f>
        <x:v>0</x:v>
      </x:c>
      <x:c r="P162" s="134" t="n">
        <x:f>B162-C162-L162-O162</x:f>
        <x:v>434017.7507266464</x:v>
      </x:c>
      <x:c r="Q162" s="134" t="n">
        <x:f>L162*IF('診断'!$C$9&gt;0,$AI$17/'診断'!$C$9,0)</x:f>
        <x:v>416567.11677612714</x:v>
      </x:c>
      <x:c r="R162" s="134" t="n">
        <x:f>IF(P162&gt;=0,P162,MIN(0,P162+Q162))</x:f>
        <x:v>434017.7507266464</x:v>
      </x:c>
      <x:c r="S162" s="134" t="n">
        <x:f>ROUNDDOWN(MAX(($AI$8+R162)-IF(($AI$8+R162)&lt;=4890000,1040000,IF(($AI$8+R162)&lt;=6550000,670000,IF(($AI$8+R162)&lt;=23500000,620000,IF(($AI$8+R162)&lt;=24000000,480000,IF(($AI$8+R162)&lt;=24500000,320000,IF(($AI$8+R162)&lt;=25000000,160000,0))))))-$AI$10,0),-3)</x:f>
        <x:v>6364000</x:v>
      </x:c>
      <x:c r="T162" s="134" t="n">
        <x:f>ROUNDDOWN(MAX(IF(S162&lt;=1949000,S162*5%,IF(S162&lt;=3299000,S162*10%-97500,IF(S162&lt;=6949000,S162*20%-427500,IF(S162&lt;=8999000,S162*23%-636000,IF(S162&lt;=17999000,S162*33%-1536000,IF(S162&lt;=39999000,S162*40%-2796000,S162*45%-4796000)))))),0),-2)+ROUNDDOWN(ROUNDDOWN(MAX(IF(S162&lt;=1949000,S162*5%,IF(S162&lt;=3299000,S162*10%-97500,IF(S162&lt;=6949000,S162*20%-427500,IF(S162&lt;=8999000,S162*23%-636000,IF(S162&lt;=17999000,S162*33%-1536000,IF(S162&lt;=39999000,S162*40%-2796000,S162*45%-4796000)))))),0),-2)*2.1%,0)</x:f>
        <x:v>863051</x:v>
      </x:c>
      <x:c r="U162" s="134" t="n">
        <x:f>ROUNDDOWN(MAX(($AI$8+R162)-IF(($AI$8+R162)&lt;=24000000,430000,IF(($AI$8+R162)&lt;=24500000,290000,IF(($AI$8+R162)&lt;=25000000,150000,0)))-$AI$10,0),-3)</x:f>
        <x:v>6554000</x:v>
      </x:c>
      <x:c r="V162" s="134" t="n">
        <x:f>ROUNDDOWN(U162*10%,0)+5000</x:f>
        <x:v>660400</x:v>
      </x:c>
      <x:c r="W162" s="134" t="n">
        <x:f>IF($AI$20="OK",$AI$16-(T162+V162),0)</x:f>
        <x:v>0</x:v>
      </x:c>
      <x:c r="X162" s="134" t="n">
        <x:f>F162+W162</x:f>
        <x:v>-524627.9508635191</x:v>
      </x:c>
      <x:c r="Y162" s="134" t="n">
        <x:f>Y161+X162</x:f>
        <x:v>-7161591.279691784</x:v>
      </x:c>
      <x:c r="Z162" s="134" t="n">
        <x:f>MAX(Z161-M162,0)</x:f>
        <x:v>0</x:v>
      </x:c>
      <x:c r="AA162" s="134" t="n">
        <x:f>MAX(AA161-N162,0)</x:f>
        <x:v>0</x:v>
      </x:c>
      <x:c r="AB162" s="134" t="n">
        <x:f>MAX('診断'!$C$7-'診断'!$C$50,0)+Z162+AA162+'診断'!$C$57</x:f>
        <x:v>35000000</x:v>
      </x:c>
      <x:c r="AC162" s="134" t="n">
        <x:f>MAX(J162-AB162-(J162*'診断'!$C$24+'診断'!$C$25)-'診断'!$C$58,0)</x:f>
        <x:v>0</x:v>
      </x:c>
      <x:c r="AD162" s="134" t="n">
        <x:f>IF($AI$20&lt;&gt;"OK",0,AC162*IF(AG162="長期",15%+5%+15%*2.1%,30%+9%+30%*2.1%))</x:f>
        <x:v>0</x:v>
      </x:c>
      <x:c r="AE162" s="134" t="n">
        <x:f>J162-(J162*'診断'!$C$24+'診断'!$C$25)-I162-AD162</x:f>
        <x:v>5725533.095172897</x:v>
      </x:c>
      <x:c r="AF162" s="134" t="n">
        <x:f>Y162+AE162-MAX(0,'診断'!$C$7+'診断'!$C$8-'診断'!$C$9)</x:f>
        <x:v>-1936058.1845188867</x:v>
      </x:c>
      <x:c r="AG162" s="406" t="str">
        <x:f>IF('診断'!$C$49&lt;DATE(YEAR('診断'!$C$49)+A162-1-5,1,1),"長期","短期")</x:f>
        <x:v>長期</x:v>
      </x:c>
    </x:row>
    <x:row r="163" ht="20" customHeight="1">
      <x:c r="A163" s="197" t="n">
        <x:v>16</x:v>
      </x:c>
      <x:c r="B163" s="242" t="n">
        <x:f>'診断'!$C$12*12*'診断'!$D$30*'診断'!$D$31*(1-'診断'!$C$19)^(A163-1)</x:f>
        <x:v>1374657.211788762</x:v>
      </x:c>
      <x:c r="C163" s="242" t="n">
        <x:f>(('診断'!$C$13+'診断'!$C$14)*12+'診断'!$C$21+'診断'!$C$22+B163*'診断'!$C$15)*'診断'!$D$33+'診断'!$C$23*'診断'!$D$34</x:f>
        <x:v>518732.8605894381</x:v>
      </x:c>
      <x:c r="D163" s="242" t="n">
        <x:f>B163-C163</x:f>
        <x:v>855924.3511993238</x:v>
      </x:c>
      <x:c r="E163" s="242" t="n">
        <x:f>IF(A163&lt;='診断'!$C$11,-PMT('診断'!$D$32/12,'診断'!$C$11*12,'診断'!$C$9)*12,0)</x:f>
        <x:v>1387114.7359884677</x:v>
      </x:c>
      <x:c r="F163" s="242" t="n">
        <x:f>D163-E163</x:f>
        <x:v>-531190.3847891439</x:v>
      </x:c>
      <x:c r="G163" s="242" t="n">
        <x:f>G162+F163</x:f>
        <x:v>-7692781.664480927</x:v>
      </x:c>
      <x:c r="H163" s="242" t="n">
        <x:f>H162+MAX(0,-F163)</x:f>
        <x:v>7692781.664480927</x:v>
      </x:c>
      <x:c r="I163" s="242" t="n">
        <x:f>IF(A163&gt;='診断'!$C$11,0,MAX(0,-FV('診断'!$D$32/12,A163*12,PMT('診断'!$D$32/12,'診断'!$C$11*12,'診断'!$C$9),'診断'!$C$9)))</x:f>
        <x:v>22307097.520353496</x:v>
      </x:c>
      <x:c r="J163" s="242" t="n">
        <x:f>'診断'!$C$7*(1+'診断'!$D$35)^A163</x:f>
        <x:v>29801021.988320645</x:v>
      </x:c>
      <x:c r="K163" s="242" t="n">
        <x:f>J163*(1-'診断'!$C$24)-'診断'!$C$25-I163</x:f>
        <x:v>6410490.742352568</x:v>
      </x:c>
      <x:c r="L163" s="242" t="n">
        <x:f>MAX(E163-MAX(I162-I163,0),0)</x:f>
        <x:v>411070.33868045337</x:v>
      </x:c>
      <x:c r="M163" s="242" t="n">
        <x:f>IF(OR($AI$20&lt;&gt;"OK",A163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162-1,0)))</x:f>
        <x:v>0</x:v>
      </x:c>
      <x:c r="N163" s="242" t="n">
        <x:f>IF(OR($AI$20&lt;&gt;"OK",A163&gt;'診断'!$C$16),0,MIN('診断'!$C$50*(1-'診断'!$C$53)*ROUNDUP(1/MAX(2,ROUNDDOWN(IF('診断'!$C$52&gt;=15,15*20%,(15-'診断'!$C$52)+'診断'!$C$52*20%),0)),3)*(12)/12,MAX(AA162-1,0)))</x:f>
        <x:v>0</x:v>
      </x:c>
      <x:c r="O163" s="242" t="n">
        <x:f>M163+N163</x:f>
        <x:v>0</x:v>
      </x:c>
      <x:c r="P163" s="134" t="n">
        <x:f>B163-C163-L163-O163</x:f>
        <x:v>444854.0125188704</x:v>
      </x:c>
      <x:c r="Q163" s="134" t="n">
        <x:f>L163*IF('診断'!$C$9&gt;0,$AI$17/'診断'!$C$9,0)</x:f>
        <x:v>399651.71816155186</x:v>
      </x:c>
      <x:c r="R163" s="134" t="n">
        <x:f>IF(P163&gt;=0,P163,MIN(0,P163+Q163))</x:f>
        <x:v>444854.0125188704</x:v>
      </x:c>
      <x:c r="S163" s="134" t="n">
        <x:f>ROUNDDOWN(MAX(($AI$8+R163)-IF(($AI$8+R163)&lt;=4890000,1040000,IF(($AI$8+R163)&lt;=6550000,670000,IF(($AI$8+R163)&lt;=23500000,620000,IF(($AI$8+R163)&lt;=24000000,480000,IF(($AI$8+R163)&lt;=24500000,320000,IF(($AI$8+R163)&lt;=25000000,160000,0))))))-$AI$10,0),-3)</x:f>
        <x:v>6374000</x:v>
      </x:c>
      <x:c r="T163" s="134" t="n">
        <x:f>ROUNDDOWN(MAX(IF(S163&lt;=1949000,S163*5%,IF(S163&lt;=3299000,S163*10%-97500,IF(S163&lt;=6949000,S163*20%-427500,IF(S163&lt;=8999000,S163*23%-636000,IF(S163&lt;=17999000,S163*33%-1536000,IF(S163&lt;=39999000,S163*40%-2796000,S163*45%-4796000)))))),0),-2)+ROUNDDOWN(ROUNDDOWN(MAX(IF(S163&lt;=1949000,S163*5%,IF(S163&lt;=3299000,S163*10%-97500,IF(S163&lt;=6949000,S163*20%-427500,IF(S163&lt;=8999000,S163*23%-636000,IF(S163&lt;=17999000,S163*33%-1536000,IF(S163&lt;=39999000,S163*40%-2796000,S163*45%-4796000)))))),0),-2)*2.1%,0)</x:f>
        <x:v>865093</x:v>
      </x:c>
      <x:c r="U163" s="134" t="n">
        <x:f>ROUNDDOWN(MAX(($AI$8+R163)-IF(($AI$8+R163)&lt;=24000000,430000,IF(($AI$8+R163)&lt;=24500000,290000,IF(($AI$8+R163)&lt;=25000000,150000,0)))-$AI$10,0),-3)</x:f>
        <x:v>6564000</x:v>
      </x:c>
      <x:c r="V163" s="134" t="n">
        <x:f>ROUNDDOWN(U163*10%,0)+5000</x:f>
        <x:v>661400</x:v>
      </x:c>
      <x:c r="W163" s="134" t="n">
        <x:f>IF($AI$20="OK",$AI$16-(T163+V163),0)</x:f>
        <x:v>0</x:v>
      </x:c>
      <x:c r="X163" s="134" t="n">
        <x:f>F163+W163</x:f>
        <x:v>-531190.3847891439</x:v>
      </x:c>
      <x:c r="Y163" s="134" t="n">
        <x:f>Y162+X163</x:f>
        <x:v>-7692781.664480927</x:v>
      </x:c>
      <x:c r="Z163" s="134" t="n">
        <x:f>MAX(Z162-M163,0)</x:f>
        <x:v>0</x:v>
      </x:c>
      <x:c r="AA163" s="134" t="n">
        <x:f>MAX(AA162-N163,0)</x:f>
        <x:v>0</x:v>
      </x:c>
      <x:c r="AB163" s="134" t="n">
        <x:f>MAX('診断'!$C$7-'診断'!$C$50,0)+Z163+AA163+'診断'!$C$57</x:f>
        <x:v>35000000</x:v>
      </x:c>
      <x:c r="AC163" s="134" t="n">
        <x:f>MAX(J163-AB163-(J163*'診断'!$C$24+'診断'!$C$25)-'診断'!$C$58,0)</x:f>
        <x:v>0</x:v>
      </x:c>
      <x:c r="AD163" s="134" t="n">
        <x:f>IF($AI$20&lt;&gt;"OK",0,AC163*IF(AG163="長期",15%+5%+15%*2.1%,30%+9%+30%*2.1%))</x:f>
        <x:v>0</x:v>
      </x:c>
      <x:c r="AE163" s="134" t="n">
        <x:f>J163-(J163*'診断'!$C$24+'診断'!$C$25)-I163-AD163</x:f>
        <x:v>6410490.742352568</x:v>
      </x:c>
      <x:c r="AF163" s="134" t="n">
        <x:f>Y163+AE163-MAX(0,'診断'!$C$7+'診断'!$C$8-'診断'!$C$9)</x:f>
        <x:v>-1782290.9221283598</x:v>
      </x:c>
      <x:c r="AG163" s="406" t="str">
        <x:f>IF('診断'!$C$49&lt;DATE(YEAR('診断'!$C$49)+A163-1-5,1,1),"長期","短期")</x:f>
        <x:v>長期</x:v>
      </x:c>
    </x:row>
    <x:row r="164" ht="20" customHeight="1">
      <x:c r="A164" s="197" t="n">
        <x:v>17</x:v>
      </x:c>
      <x:c r="B164" s="242" t="n">
        <x:f>'診断'!$C$12*12*'診断'!$D$30*'診断'!$D$31*(1-'診断'!$C$19)^(A164-1)</x:f>
        <x:v>1367783.925729818</x:v>
      </x:c>
      <x:c r="C164" s="242" t="n">
        <x:f>(('診断'!$C$13+'診断'!$C$14)*12+'診断'!$C$21+'診断'!$C$22+B164*'診断'!$C$15)*'診断'!$D$33+'診断'!$C$23*'診断'!$D$34</x:f>
        <x:v>518389.1962864909</x:v>
      </x:c>
      <x:c r="D164" s="242" t="n">
        <x:f>B164-C164</x:f>
        <x:v>849394.729443327</x:v>
      </x:c>
      <x:c r="E164" s="242" t="n">
        <x:f>IF(A164&lt;='診断'!$C$11,-PMT('診断'!$D$32/12,'診断'!$C$11*12,'診断'!$C$9)*12,0)</x:f>
        <x:v>1387114.7359884677</x:v>
      </x:c>
      <x:c r="F164" s="242" t="n">
        <x:f>D164-E164</x:f>
        <x:v>-537720.0065451406</x:v>
      </x:c>
      <x:c r="G164" s="242" t="n">
        <x:f>G163+F164</x:f>
        <x:v>-8230501.671026068</x:v>
      </x:c>
      <x:c r="H164" s="242" t="n">
        <x:f>H163+MAX(0,-F164)</x:f>
        <x:v>8230501.671026068</x:v>
      </x:c>
      <x:c r="I164" s="242" t="n">
        <x:f>IF(A164&gt;='診断'!$C$11,0,MAX(0,-FV('診断'!$D$32/12,A164*12,PMT('診断'!$D$32/12,'診断'!$C$11*12,'診断'!$C$9),'診断'!$C$9)))</x:f>
        <x:v>21313338.6541362</x:v>
      </x:c>
      <x:c r="J164" s="242" t="n">
        <x:f>'診断'!$C$7*(1+'診断'!$D$35)^A164</x:f>
        <x:v>29503011.768437438</x:v>
      </x:c>
      <x:c r="K164" s="242" t="n">
        <x:f>J164*(1-'診断'!$C$24)-'診断'!$C$25-I164</x:f>
        <x:v>7116073.725942802</x:v>
      </x:c>
      <x:c r="L164" s="242" t="n">
        <x:f>MAX(E164-MAX(I163-I164,0),0)</x:f>
        <x:v>393355.8697711711</x:v>
      </x:c>
      <x:c r="M164" s="242" t="n">
        <x:f>IF(OR($AI$20&lt;&gt;"OK",A164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163-1,0)))</x:f>
        <x:v>0</x:v>
      </x:c>
      <x:c r="N164" s="242" t="n">
        <x:f>IF(OR($AI$20&lt;&gt;"OK",A164&gt;'診断'!$C$16),0,MIN('診断'!$C$50*(1-'診断'!$C$53)*ROUNDUP(1/MAX(2,ROUNDDOWN(IF('診断'!$C$52&gt;=15,15*20%,(15-'診断'!$C$52)+'診断'!$C$52*20%),0)),3)*(12)/12,MAX(AA163-1,0)))</x:f>
        <x:v>0</x:v>
      </x:c>
      <x:c r="O164" s="242" t="n">
        <x:f>M164+N164</x:f>
        <x:v>0</x:v>
      </x:c>
      <x:c r="P164" s="134" t="n">
        <x:f>B164-C164-L164-O164</x:f>
        <x:v>456038.85967215593</x:v>
      </x:c>
      <x:c r="Q164" s="134" t="n">
        <x:f>L164*IF('診断'!$C$9&gt;0,$AI$17/'診断'!$C$9,0)</x:f>
        <x:v>382429.31783308304</x:v>
      </x:c>
      <x:c r="R164" s="134" t="n">
        <x:f>IF(P164&gt;=0,P164,MIN(0,P164+Q164))</x:f>
        <x:v>456038.85967215593</x:v>
      </x:c>
      <x:c r="S164" s="134" t="n">
        <x:f>ROUNDDOWN(MAX(($AI$8+R164)-IF(($AI$8+R164)&lt;=4890000,1040000,IF(($AI$8+R164)&lt;=6550000,670000,IF(($AI$8+R164)&lt;=23500000,620000,IF(($AI$8+R164)&lt;=24000000,480000,IF(($AI$8+R164)&lt;=24500000,320000,IF(($AI$8+R164)&lt;=25000000,160000,0))))))-$AI$10,0),-3)</x:f>
        <x:v>6386000</x:v>
      </x:c>
      <x:c r="T164" s="134" t="n">
        <x:f>ROUNDDOWN(MAX(IF(S164&lt;=1949000,S164*5%,IF(S164&lt;=3299000,S164*10%-97500,IF(S164&lt;=6949000,S164*20%-427500,IF(S164&lt;=8999000,S164*23%-636000,IF(S164&lt;=17999000,S164*33%-1536000,IF(S164&lt;=39999000,S164*40%-2796000,S164*45%-4796000)))))),0),-2)+ROUNDDOWN(ROUNDDOWN(MAX(IF(S164&lt;=1949000,S164*5%,IF(S164&lt;=3299000,S164*10%-97500,IF(S164&lt;=6949000,S164*20%-427500,IF(S164&lt;=8999000,S164*23%-636000,IF(S164&lt;=17999000,S164*33%-1536000,IF(S164&lt;=39999000,S164*40%-2796000,S164*45%-4796000)))))),0),-2)*2.1%,0)</x:f>
        <x:v>867543</x:v>
      </x:c>
      <x:c r="U164" s="134" t="n">
        <x:f>ROUNDDOWN(MAX(($AI$8+R164)-IF(($AI$8+R164)&lt;=24000000,430000,IF(($AI$8+R164)&lt;=24500000,290000,IF(($AI$8+R164)&lt;=25000000,150000,0)))-$AI$10,0),-3)</x:f>
        <x:v>6576000</x:v>
      </x:c>
      <x:c r="V164" s="134" t="n">
        <x:f>ROUNDDOWN(U164*10%,0)+5000</x:f>
        <x:v>662600</x:v>
      </x:c>
      <x:c r="W164" s="134" t="n">
        <x:f>IF($AI$20="OK",$AI$16-(T164+V164),0)</x:f>
        <x:v>0</x:v>
      </x:c>
      <x:c r="X164" s="134" t="n">
        <x:f>F164+W164</x:f>
        <x:v>-537720.0065451406</x:v>
      </x:c>
      <x:c r="Y164" s="134" t="n">
        <x:f>Y163+X164</x:f>
        <x:v>-8230501.671026068</x:v>
      </x:c>
      <x:c r="Z164" s="134" t="n">
        <x:f>MAX(Z163-M164,0)</x:f>
        <x:v>0</x:v>
      </x:c>
      <x:c r="AA164" s="134" t="n">
        <x:f>MAX(AA163-N164,0)</x:f>
        <x:v>0</x:v>
      </x:c>
      <x:c r="AB164" s="134" t="n">
        <x:f>MAX('診断'!$C$7-'診断'!$C$50,0)+Z164+AA164+'診断'!$C$57</x:f>
        <x:v>35000000</x:v>
      </x:c>
      <x:c r="AC164" s="134" t="n">
        <x:f>MAX(J164-AB164-(J164*'診断'!$C$24+'診断'!$C$25)-'診断'!$C$58,0)</x:f>
        <x:v>0</x:v>
      </x:c>
      <x:c r="AD164" s="134" t="n">
        <x:f>IF($AI$20&lt;&gt;"OK",0,AC164*IF(AG164="長期",15%+5%+15%*2.1%,30%+9%+30%*2.1%))</x:f>
        <x:v>0</x:v>
      </x:c>
      <x:c r="AE164" s="134" t="n">
        <x:f>J164-(J164*'診断'!$C$24+'診断'!$C$25)-I164-AD164</x:f>
        <x:v>7116073.725942802</x:v>
      </x:c>
      <x:c r="AF164" s="134" t="n">
        <x:f>Y164+AE164-MAX(0,'診断'!$C$7+'診断'!$C$8-'診断'!$C$9)</x:f>
        <x:v>-1614427.9450832661</x:v>
      </x:c>
      <x:c r="AG164" s="406" t="str">
        <x:f>IF('診断'!$C$49&lt;DATE(YEAR('診断'!$C$49)+A164-1-5,1,1),"長期","短期")</x:f>
        <x:v>長期</x:v>
      </x:c>
    </x:row>
    <x:row r="165" ht="20" customHeight="1">
      <x:c r="A165" s="197" t="n">
        <x:v>18</x:v>
      </x:c>
      <x:c r="B165" s="242" t="n">
        <x:f>'診断'!$C$12*12*'診断'!$D$30*'診断'!$D$31*(1-'診断'!$C$19)^(A165-1)</x:f>
        <x:v>1360945.006101169</x:v>
      </x:c>
      <x:c r="C165" s="242" t="n">
        <x:f>(('診断'!$C$13+'診断'!$C$14)*12+'診断'!$C$21+'診断'!$C$22+B165*'診断'!$C$15)*'診断'!$D$33+'診断'!$C$23*'診断'!$D$34</x:f>
        <x:v>518047.25030505843</x:v>
      </x:c>
      <x:c r="D165" s="242" t="n">
        <x:f>B165-C165</x:f>
        <x:v>842897.7557961105</x:v>
      </x:c>
      <x:c r="E165" s="242" t="n">
        <x:f>IF(A165&lt;='診断'!$C$11,-PMT('診断'!$D$32/12,'診断'!$C$11*12,'診断'!$C$9)*12,0)</x:f>
        <x:v>1387114.7359884677</x:v>
      </x:c>
      <x:c r="F165" s="242" t="n">
        <x:f>D165-E165</x:f>
        <x:v>-544216.9801923572</x:v>
      </x:c>
      <x:c r="G165" s="242" t="n">
        <x:f>G164+F165</x:f>
        <x:v>-8774718.651218425</x:v>
      </x:c>
      <x:c r="H165" s="242" t="n">
        <x:f>H164+MAX(0,-F165)</x:f>
        <x:v>8774718.651218425</x:v>
      </x:c>
      <x:c r="I165" s="242" t="n">
        <x:f>IF(A165&gt;='診断'!$C$11,0,MAX(0,-FV('診断'!$D$32/12,A165*12,PMT('診断'!$D$32/12,'診断'!$C$11*12,'診断'!$C$9),'診断'!$C$9)))</x:f>
        <x:v>20301543.814773113</x:v>
      </x:c>
      <x:c r="J165" s="242" t="n">
        <x:f>'診断'!$C$7*(1+'診断'!$D$35)^A165</x:f>
        <x:v>29207981.650753062</x:v>
      </x:c>
      <x:c r="K165" s="242" t="n">
        <x:f>J165*(1-'診断'!$C$24)-'診断'!$C$25-I165</x:f>
        <x:v>7842574.441505097</x:v>
      </x:c>
      <x:c r="L165" s="242" t="n">
        <x:f>MAX(E165-MAX(I164-I165,0),0)</x:f>
        <x:v>375319.89662538073</x:v>
      </x:c>
      <x:c r="M165" s="242" t="n">
        <x:f>IF(OR($AI$20&lt;&gt;"OK",A165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164-1,0)))</x:f>
        <x:v>0</x:v>
      </x:c>
      <x:c r="N165" s="242" t="n">
        <x:f>IF(OR($AI$20&lt;&gt;"OK",A165&gt;'診断'!$C$16),0,MIN('診断'!$C$50*(1-'診断'!$C$53)*ROUNDUP(1/MAX(2,ROUNDDOWN(IF('診断'!$C$52&gt;=15,15*20%,(15-'診断'!$C$52)+'診断'!$C$52*20%),0)),3)*(12)/12,MAX(AA164-1,0)))</x:f>
        <x:v>0</x:v>
      </x:c>
      <x:c r="O165" s="242" t="n">
        <x:f>M165+N165</x:f>
        <x:v>0</x:v>
      </x:c>
      <x:c r="P165" s="134" t="n">
        <x:f>B165-C165-L165-O165</x:f>
        <x:v>467577.85917072976</x:v>
      </x:c>
      <x:c r="Q165" s="134" t="n">
        <x:f>L165*IF('診断'!$C$9&gt;0,$AI$17/'診断'!$C$9,0)</x:f>
        <x:v>364894.3439413424</x:v>
      </x:c>
      <x:c r="R165" s="134" t="n">
        <x:f>IF(P165&gt;=0,P165,MIN(0,P165+Q165))</x:f>
        <x:v>467577.85917072976</x:v>
      </x:c>
      <x:c r="S165" s="134" t="n">
        <x:f>ROUNDDOWN(MAX(($AI$8+R165)-IF(($AI$8+R165)&lt;=4890000,1040000,IF(($AI$8+R165)&lt;=6550000,670000,IF(($AI$8+R165)&lt;=23500000,620000,IF(($AI$8+R165)&lt;=24000000,480000,IF(($AI$8+R165)&lt;=24500000,320000,IF(($AI$8+R165)&lt;=25000000,160000,0))))))-$AI$10,0),-3)</x:f>
        <x:v>6397000</x:v>
      </x:c>
      <x:c r="T165" s="134" t="n">
        <x:f>ROUNDDOWN(MAX(IF(S165&lt;=1949000,S165*5%,IF(S165&lt;=3299000,S165*10%-97500,IF(S165&lt;=6949000,S165*20%-427500,IF(S165&lt;=8999000,S165*23%-636000,IF(S165&lt;=17999000,S165*33%-1536000,IF(S165&lt;=39999000,S165*40%-2796000,S165*45%-4796000)))))),0),-2)+ROUNDDOWN(ROUNDDOWN(MAX(IF(S165&lt;=1949000,S165*5%,IF(S165&lt;=3299000,S165*10%-97500,IF(S165&lt;=6949000,S165*20%-427500,IF(S165&lt;=8999000,S165*23%-636000,IF(S165&lt;=17999000,S165*33%-1536000,IF(S165&lt;=39999000,S165*40%-2796000,S165*45%-4796000)))))),0),-2)*2.1%,0)</x:f>
        <x:v>869789</x:v>
      </x:c>
      <x:c r="U165" s="134" t="n">
        <x:f>ROUNDDOWN(MAX(($AI$8+R165)-IF(($AI$8+R165)&lt;=24000000,430000,IF(($AI$8+R165)&lt;=24500000,290000,IF(($AI$8+R165)&lt;=25000000,150000,0)))-$AI$10,0),-3)</x:f>
        <x:v>6587000</x:v>
      </x:c>
      <x:c r="V165" s="134" t="n">
        <x:f>ROUNDDOWN(U165*10%,0)+5000</x:f>
        <x:v>663700</x:v>
      </x:c>
      <x:c r="W165" s="134" t="n">
        <x:f>IF($AI$20="OK",$AI$16-(T165+V165),0)</x:f>
        <x:v>0</x:v>
      </x:c>
      <x:c r="X165" s="134" t="n">
        <x:f>F165+W165</x:f>
        <x:v>-544216.9801923572</x:v>
      </x:c>
      <x:c r="Y165" s="134" t="n">
        <x:f>Y164+X165</x:f>
        <x:v>-8774718.651218425</x:v>
      </x:c>
      <x:c r="Z165" s="134" t="n">
        <x:f>MAX(Z164-M165,0)</x:f>
        <x:v>0</x:v>
      </x:c>
      <x:c r="AA165" s="134" t="n">
        <x:f>MAX(AA164-N165,0)</x:f>
        <x:v>0</x:v>
      </x:c>
      <x:c r="AB165" s="134" t="n">
        <x:f>MAX('診断'!$C$7-'診断'!$C$50,0)+Z165+AA165+'診断'!$C$57</x:f>
        <x:v>35000000</x:v>
      </x:c>
      <x:c r="AC165" s="134" t="n">
        <x:f>MAX(J165-AB165-(J165*'診断'!$C$24+'診断'!$C$25)-'診断'!$C$58,0)</x:f>
        <x:v>0</x:v>
      </x:c>
      <x:c r="AD165" s="134" t="n">
        <x:f>IF($AI$20&lt;&gt;"OK",0,AC165*IF(AG165="長期",15%+5%+15%*2.1%,30%+9%+30%*2.1%))</x:f>
        <x:v>0</x:v>
      </x:c>
      <x:c r="AE165" s="134" t="n">
        <x:f>J165-(J165*'診断'!$C$24+'診断'!$C$25)-I165-AD165</x:f>
        <x:v>7842574.441505097</x:v>
      </x:c>
      <x:c r="AF165" s="134" t="n">
        <x:f>Y165+AE165-MAX(0,'診断'!$C$7+'診断'!$C$8-'診断'!$C$9)</x:f>
        <x:v>-1432144.2097133286</x:v>
      </x:c>
      <x:c r="AG165" s="406" t="str">
        <x:f>IF('診断'!$C$49&lt;DATE(YEAR('診断'!$C$49)+A165-1-5,1,1),"長期","短期")</x:f>
        <x:v>長期</x:v>
      </x:c>
    </x:row>
    <x:row r="166" ht="20" customHeight="1">
      <x:c r="A166" s="197" t="n">
        <x:v>19</x:v>
      </x:c>
      <x:c r="B166" s="242" t="n">
        <x:f>'診断'!$C$12*12*'診断'!$D$30*'診断'!$D$31*(1-'診断'!$C$19)^(A166-1)</x:f>
        <x:v>1354140.2810706631</x:v>
      </x:c>
      <x:c r="C166" s="242" t="n">
        <x:f>(('診断'!$C$13+'診断'!$C$14)*12+'診断'!$C$21+'診断'!$C$22+B166*'診断'!$C$15)*'診断'!$D$33+'診断'!$C$23*'診断'!$D$34</x:f>
        <x:v>517707.01405353314</x:v>
      </x:c>
      <x:c r="D166" s="242" t="n">
        <x:f>B166-C166</x:f>
        <x:v>836433.26701713</x:v>
      </x:c>
      <x:c r="E166" s="242" t="n">
        <x:f>IF(A166&lt;='診断'!$C$11,-PMT('診断'!$D$32/12,'診断'!$C$11*12,'診断'!$C$9)*12,0)</x:f>
        <x:v>1387114.7359884677</x:v>
      </x:c>
      <x:c r="F166" s="242" t="n">
        <x:f>D166-E166</x:f>
        <x:v>-550681.4689713377</x:v>
      </x:c>
      <x:c r="G166" s="242" t="n">
        <x:f>G165+F166</x:f>
        <x:v>-9325400.120189764</x:v>
      </x:c>
      <x:c r="H166" s="242" t="n">
        <x:f>H165+MAX(0,-F166)</x:f>
        <x:v>9325400.120189764</x:v>
      </x:c>
      <x:c r="I166" s="242" t="n">
        <x:f>IF(A166&gt;='診断'!$C$11,0,MAX(0,-FV('診断'!$D$32/12,A166*12,PMT('診断'!$D$32/12,'診断'!$C$11*12,'診断'!$C$9),'診断'!$C$9)))</x:f>
        <x:v>19271385.662968587</x:v>
      </x:c>
      <x:c r="J166" s="242" t="n">
        <x:f>'診断'!$C$7*(1+'診断'!$D$35)^A166</x:f>
        <x:v>28915901.834245533</x:v>
      </x:c>
      <x:c r="K166" s="242" t="n">
        <x:f>J166*(1-'診断'!$C$24)-'診断'!$C$25-I166</x:f>
        <x:v>8590291.410746843</x:v>
      </x:c>
      <x:c r="L166" s="242" t="n">
        <x:f>MAX(E166-MAX(I165-I166,0),0)</x:f>
        <x:v>356956.5841839423</x:v>
      </x:c>
      <x:c r="M166" s="242" t="n">
        <x:f>IF(OR($AI$20&lt;&gt;"OK",A166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165-1,0)))</x:f>
        <x:v>0</x:v>
      </x:c>
      <x:c r="N166" s="242" t="n">
        <x:f>IF(OR($AI$20&lt;&gt;"OK",A166&gt;'診断'!$C$16),0,MIN('診断'!$C$50*(1-'診断'!$C$53)*ROUNDUP(1/MAX(2,ROUNDDOWN(IF('診断'!$C$52&gt;=15,15*20%,(15-'診断'!$C$52)+'診断'!$C$52*20%),0)),3)*(12)/12,MAX(AA165-1,0)))</x:f>
        <x:v>0</x:v>
      </x:c>
      <x:c r="O166" s="242" t="n">
        <x:f>M166+N166</x:f>
        <x:v>0</x:v>
      </x:c>
      <x:c r="P166" s="134" t="n">
        <x:f>B166-C166-L166-O166</x:f>
        <x:v>479476.68283318775</x:v>
      </x:c>
      <x:c r="Q166" s="134" t="n">
        <x:f>L166*IF('診断'!$C$9&gt;0,$AI$17/'診断'!$C$9,0)</x:f>
        <x:v>347041.1235121661</x:v>
      </x:c>
      <x:c r="R166" s="134" t="n">
        <x:f>IF(P166&gt;=0,P166,MIN(0,P166+Q166))</x:f>
        <x:v>479476.68283318775</x:v>
      </x:c>
      <x:c r="S166" s="134" t="n">
        <x:f>ROUNDDOWN(MAX(($AI$8+R166)-IF(($AI$8+R166)&lt;=4890000,1040000,IF(($AI$8+R166)&lt;=6550000,670000,IF(($AI$8+R166)&lt;=23500000,620000,IF(($AI$8+R166)&lt;=24000000,480000,IF(($AI$8+R166)&lt;=24500000,320000,IF(($AI$8+R166)&lt;=25000000,160000,0))))))-$AI$10,0),-3)</x:f>
        <x:v>6409000</x:v>
      </x:c>
      <x:c r="T166" s="134" t="n">
        <x:f>ROUNDDOWN(MAX(IF(S166&lt;=1949000,S166*5%,IF(S166&lt;=3299000,S166*10%-97500,IF(S166&lt;=6949000,S166*20%-427500,IF(S166&lt;=8999000,S166*23%-636000,IF(S166&lt;=17999000,S166*33%-1536000,IF(S166&lt;=39999000,S166*40%-2796000,S166*45%-4796000)))))),0),-2)+ROUNDDOWN(ROUNDDOWN(MAX(IF(S166&lt;=1949000,S166*5%,IF(S166&lt;=3299000,S166*10%-97500,IF(S166&lt;=6949000,S166*20%-427500,IF(S166&lt;=8999000,S166*23%-636000,IF(S166&lt;=17999000,S166*33%-1536000,IF(S166&lt;=39999000,S166*40%-2796000,S166*45%-4796000)))))),0),-2)*2.1%,0)</x:f>
        <x:v>872240</x:v>
      </x:c>
      <x:c r="U166" s="134" t="n">
        <x:f>ROUNDDOWN(MAX(($AI$8+R166)-IF(($AI$8+R166)&lt;=24000000,430000,IF(($AI$8+R166)&lt;=24500000,290000,IF(($AI$8+R166)&lt;=25000000,150000,0)))-$AI$10,0),-3)</x:f>
        <x:v>6599000</x:v>
      </x:c>
      <x:c r="V166" s="134" t="n">
        <x:f>ROUNDDOWN(U166*10%,0)+5000</x:f>
        <x:v>664900</x:v>
      </x:c>
      <x:c r="W166" s="134" t="n">
        <x:f>IF($AI$20="OK",$AI$16-(T166+V166),0)</x:f>
        <x:v>0</x:v>
      </x:c>
      <x:c r="X166" s="134" t="n">
        <x:f>F166+W166</x:f>
        <x:v>-550681.4689713377</x:v>
      </x:c>
      <x:c r="Y166" s="134" t="n">
        <x:f>Y165+X166</x:f>
        <x:v>-9325400.120189764</x:v>
      </x:c>
      <x:c r="Z166" s="134" t="n">
        <x:f>MAX(Z165-M166,0)</x:f>
        <x:v>0</x:v>
      </x:c>
      <x:c r="AA166" s="134" t="n">
        <x:f>MAX(AA165-N166,0)</x:f>
        <x:v>0</x:v>
      </x:c>
      <x:c r="AB166" s="134" t="n">
        <x:f>MAX('診断'!$C$7-'診断'!$C$50,0)+Z166+AA166+'診断'!$C$57</x:f>
        <x:v>35000000</x:v>
      </x:c>
      <x:c r="AC166" s="134" t="n">
        <x:f>MAX(J166-AB166-(J166*'診断'!$C$24+'診断'!$C$25)-'診断'!$C$58,0)</x:f>
        <x:v>0</x:v>
      </x:c>
      <x:c r="AD166" s="134" t="n">
        <x:f>IF($AI$20&lt;&gt;"OK",0,AC166*IF(AG166="長期",15%+5%+15%*2.1%,30%+9%+30%*2.1%))</x:f>
        <x:v>0</x:v>
      </x:c>
      <x:c r="AE166" s="134" t="n">
        <x:f>J166-(J166*'診断'!$C$24+'診断'!$C$25)-I166-AD166</x:f>
        <x:v>8590291.410746843</x:v>
      </x:c>
      <x:c r="AF166" s="134" t="n">
        <x:f>Y166+AE166-MAX(0,'診断'!$C$7+'診断'!$C$8-'診断'!$C$9)</x:f>
        <x:v>-1235108.709442921</x:v>
      </x:c>
      <x:c r="AG166" s="406" t="str">
        <x:f>IF('診断'!$C$49&lt;DATE(YEAR('診断'!$C$49)+A166-1-5,1,1),"長期","短期")</x:f>
        <x:v>長期</x:v>
      </x:c>
    </x:row>
    <x:row r="167" ht="20" customHeight="1">
      <x:c r="A167" s="197" t="n">
        <x:v>20</x:v>
      </x:c>
      <x:c r="B167" s="242" t="n">
        <x:f>'診断'!$C$12*12*'診断'!$D$30*'診断'!$D$31*(1-'診断'!$C$19)^(A167-1)</x:f>
        <x:v>1347369.5796653097</x:v>
      </x:c>
      <x:c r="C167" s="242" t="n">
        <x:f>(('診断'!$C$13+'診断'!$C$14)*12+'診断'!$C$21+'診断'!$C$22+B167*'診断'!$C$15)*'診断'!$D$33+'診断'!$C$23*'診断'!$D$34</x:f>
        <x:v>517368.47898326546</x:v>
      </x:c>
      <x:c r="D167" s="242" t="n">
        <x:f>B167-C167</x:f>
        <x:v>830001.1006820443</x:v>
      </x:c>
      <x:c r="E167" s="242" t="n">
        <x:f>IF(A167&lt;='診断'!$C$11,-PMT('診断'!$D$32/12,'診断'!$C$11*12,'診断'!$C$9)*12,0)</x:f>
        <x:v>1387114.7359884677</x:v>
      </x:c>
      <x:c r="F167" s="242" t="n">
        <x:f>D167-E167</x:f>
        <x:v>-557113.6353064234</x:v>
      </x:c>
      <x:c r="G167" s="242" t="n">
        <x:f>G166+F167</x:f>
        <x:v>-9882513.755496187</x:v>
      </x:c>
      <x:c r="H167" s="242" t="n">
        <x:f>H166+MAX(0,-F167)</x:f>
        <x:v>9882513.755496187</x:v>
      </x:c>
      <x:c r="I167" s="242" t="n">
        <x:f>IF(A167&gt;='診断'!$C$11,0,MAX(0,-FV('診断'!$D$32/12,A167*12,PMT('診断'!$D$32/12,'診断'!$C$11*12,'診断'!$C$9),'診断'!$C$9)))</x:f>
        <x:v>18222530.918465883</x:v>
      </x:c>
      <x:c r="J167" s="242" t="n">
        <x:f>'診断'!$C$7*(1+'診断'!$D$35)^A167</x:f>
        <x:v>28626742.815903075</x:v>
      </x:c>
      <x:c r="K167" s="242" t="n">
        <x:f>J167*(1-'診断'!$C$24)-'診断'!$C$25-I167</x:f>
        <x:v>9359529.384512391</x:v>
      </x:c>
      <x:c r="L167" s="242" t="n">
        <x:f>MAX(E167-MAX(I166-I167,0),0)</x:f>
        <x:v>338259.9914857631</x:v>
      </x:c>
      <x:c r="M167" s="242" t="n">
        <x:f>IF(OR($AI$20&lt;&gt;"OK",A167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166-1,0)))</x:f>
        <x:v>0</x:v>
      </x:c>
      <x:c r="N167" s="242" t="n">
        <x:f>IF(OR($AI$20&lt;&gt;"OK",A167&gt;'診断'!$C$16),0,MIN('診断'!$C$50*(1-'診断'!$C$53)*ROUNDUP(1/MAX(2,ROUNDDOWN(IF('診断'!$C$52&gt;=15,15*20%,(15-'診断'!$C$52)+'診断'!$C$52*20%),0)),3)*(12)/12,MAX(AA166-1,0)))</x:f>
        <x:v>0</x:v>
      </x:c>
      <x:c r="O167" s="242" t="n">
        <x:f>M167+N167</x:f>
        <x:v>0</x:v>
      </x:c>
      <x:c r="P167" s="134" t="n">
        <x:f>B167-C167-L167-O167</x:f>
        <x:v>491741.1091962812</x:v>
      </x:c>
      <x:c r="Q167" s="134" t="n">
        <x:f>L167*IF('診断'!$C$9&gt;0,$AI$17/'診断'!$C$9,0)</x:f>
        <x:v>328863.88061115856</x:v>
      </x:c>
      <x:c r="R167" s="134" t="n">
        <x:f>IF(P167&gt;=0,P167,MIN(0,P167+Q167))</x:f>
        <x:v>491741.1091962812</x:v>
      </x:c>
      <x:c r="S167" s="134" t="n">
        <x:f>ROUNDDOWN(MAX(($AI$8+R167)-IF(($AI$8+R167)&lt;=4890000,1040000,IF(($AI$8+R167)&lt;=6550000,670000,IF(($AI$8+R167)&lt;=23500000,620000,IF(($AI$8+R167)&lt;=24000000,480000,IF(($AI$8+R167)&lt;=24500000,320000,IF(($AI$8+R167)&lt;=25000000,160000,0))))))-$AI$10,0),-3)</x:f>
        <x:v>6421000</x:v>
      </x:c>
      <x:c r="T167" s="134" t="n">
        <x:f>ROUNDDOWN(MAX(IF(S167&lt;=1949000,S167*5%,IF(S167&lt;=3299000,S167*10%-97500,IF(S167&lt;=6949000,S167*20%-427500,IF(S167&lt;=8999000,S167*23%-636000,IF(S167&lt;=17999000,S167*33%-1536000,IF(S167&lt;=39999000,S167*40%-2796000,S167*45%-4796000)))))),0),-2)+ROUNDDOWN(ROUNDDOWN(MAX(IF(S167&lt;=1949000,S167*5%,IF(S167&lt;=3299000,S167*10%-97500,IF(S167&lt;=6949000,S167*20%-427500,IF(S167&lt;=8999000,S167*23%-636000,IF(S167&lt;=17999000,S167*33%-1536000,IF(S167&lt;=39999000,S167*40%-2796000,S167*45%-4796000)))))),0),-2)*2.1%,0)</x:f>
        <x:v>874690</x:v>
      </x:c>
      <x:c r="U167" s="134" t="n">
        <x:f>ROUNDDOWN(MAX(($AI$8+R167)-IF(($AI$8+R167)&lt;=24000000,430000,IF(($AI$8+R167)&lt;=24500000,290000,IF(($AI$8+R167)&lt;=25000000,150000,0)))-$AI$10,0),-3)</x:f>
        <x:v>6611000</x:v>
      </x:c>
      <x:c r="V167" s="134" t="n">
        <x:f>ROUNDDOWN(U167*10%,0)+5000</x:f>
        <x:v>666100</x:v>
      </x:c>
      <x:c r="W167" s="134" t="n">
        <x:f>IF($AI$20="OK",$AI$16-(T167+V167),0)</x:f>
        <x:v>0</x:v>
      </x:c>
      <x:c r="X167" s="134" t="n">
        <x:f>F167+W167</x:f>
        <x:v>-557113.6353064234</x:v>
      </x:c>
      <x:c r="Y167" s="134" t="n">
        <x:f>Y166+X167</x:f>
        <x:v>-9882513.755496187</x:v>
      </x:c>
      <x:c r="Z167" s="134" t="n">
        <x:f>MAX(Z166-M167,0)</x:f>
        <x:v>0</x:v>
      </x:c>
      <x:c r="AA167" s="134" t="n">
        <x:f>MAX(AA166-N167,0)</x:f>
        <x:v>0</x:v>
      </x:c>
      <x:c r="AB167" s="134" t="n">
        <x:f>MAX('診断'!$C$7-'診断'!$C$50,0)+Z167+AA167+'診断'!$C$57</x:f>
        <x:v>35000000</x:v>
      </x:c>
      <x:c r="AC167" s="134" t="n">
        <x:f>MAX(J167-AB167-(J167*'診断'!$C$24+'診断'!$C$25)-'診断'!$C$58,0)</x:f>
        <x:v>0</x:v>
      </x:c>
      <x:c r="AD167" s="134" t="n">
        <x:f>IF($AI$20&lt;&gt;"OK",0,AC167*IF(AG167="長期",15%+5%+15%*2.1%,30%+9%+30%*2.1%))</x:f>
        <x:v>0</x:v>
      </x:c>
      <x:c r="AE167" s="134" t="n">
        <x:f>J167-(J167*'診断'!$C$24+'診断'!$C$25)-I167-AD167</x:f>
        <x:v>9359529.384512391</x:v>
      </x:c>
      <x:c r="AF167" s="134" t="n">
        <x:f>Y167+AE167-MAX(0,'診断'!$C$7+'診断'!$C$8-'診断'!$C$9)</x:f>
        <x:v>-1022984.3709837962</x:v>
      </x:c>
      <x:c r="AG167" s="406" t="str">
        <x:f>IF('診断'!$C$49&lt;DATE(YEAR('診断'!$C$49)+A167-1-5,1,1),"長期","短期")</x:f>
        <x:v>長期</x:v>
      </x:c>
    </x:row>
    <x:row r="168" ht="20" customHeight="1">
      <x:c r="A168" s="197" t="n">
        <x:v>21</x:v>
      </x:c>
      <x:c r="B168" s="242" t="n">
        <x:f>'診断'!$C$12*12*'診断'!$D$30*'診断'!$D$31*(1-'診断'!$C$19)^(A168-1)</x:f>
        <x:v>1340632.7317669832</x:v>
      </x:c>
      <x:c r="C168" s="242" t="n">
        <x:f>(('診断'!$C$13+'診断'!$C$14)*12+'診断'!$C$21+'診断'!$C$22+B168*'診断'!$C$15)*'診断'!$D$33+'診断'!$C$23*'診断'!$D$34</x:f>
        <x:v>517031.6365883492</x:v>
      </x:c>
      <x:c r="D168" s="242" t="n">
        <x:f>B168-C168</x:f>
        <x:v>823601.0951786339</x:v>
      </x:c>
      <x:c r="E168" s="242" t="n">
        <x:f>IF(A168&lt;='診断'!$C$11,-PMT('診断'!$D$32/12,'診断'!$C$11*12,'診断'!$C$9)*12,0)</x:f>
        <x:v>1387114.7359884677</x:v>
      </x:c>
      <x:c r="F168" s="242" t="n">
        <x:f>D168-E168</x:f>
        <x:v>-563513.6408098338</x:v>
      </x:c>
      <x:c r="G168" s="242" t="n">
        <x:f>G167+F168</x:f>
        <x:v>-10446027.396306021</x:v>
      </x:c>
      <x:c r="H168" s="242" t="n">
        <x:f>H167+MAX(0,-F168)</x:f>
        <x:v>10446027.396306021</x:v>
      </x:c>
      <x:c r="I168" s="242" t="n">
        <x:f>IF(A168&gt;='診断'!$C$11,0,MAX(0,-FV('診断'!$D$32/12,A168*12,PMT('診断'!$D$32/12,'診断'!$C$11*12,'診断'!$C$9),'診断'!$C$9)))</x:f>
        <x:v>17154640.252223246</x:v>
      </x:c>
      <x:c r="J168" s="242" t="n">
        <x:f>'診断'!$C$7*(1+'診断'!$D$35)^A168</x:f>
        <x:v>28340475.387744043</x:v>
      </x:c>
      <x:c r="K168" s="242" t="n">
        <x:f>J168*(1-'診断'!$C$24)-'診断'!$C$25-I168</x:f>
        <x:v>10150599.447725244</x:v>
      </x:c>
      <x:c r="L168" s="242" t="n">
        <x:f>MAX(E168-MAX(I167-I168,0),0)</x:f>
        <x:v>319224.06974583096</x:v>
      </x:c>
      <x:c r="M168" s="242" t="n">
        <x:f>IF(OR($AI$20&lt;&gt;"OK",A168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167-1,0)))</x:f>
        <x:v>0</x:v>
      </x:c>
      <x:c r="N168" s="242" t="n">
        <x:f>IF(OR($AI$20&lt;&gt;"OK",A168&gt;'診断'!$C$16),0,MIN('診断'!$C$50*(1-'診断'!$C$53)*ROUNDUP(1/MAX(2,ROUNDDOWN(IF('診断'!$C$52&gt;=15,15*20%,(15-'診断'!$C$52)+'診断'!$C$52*20%),0)),3)*(12)/12,MAX(AA167-1,0)))</x:f>
        <x:v>0</x:v>
      </x:c>
      <x:c r="O168" s="242" t="n">
        <x:f>M168+N168</x:f>
        <x:v>0</x:v>
      </x:c>
      <x:c r="P168" s="134" t="n">
        <x:f>B168-C168-L168-O168</x:f>
        <x:v>504377.02543280297</x:v>
      </x:c>
      <x:c r="Q168" s="134" t="n">
        <x:f>L168*IF('診断'!$C$9&gt;0,$AI$17/'診断'!$C$9,0)</x:f>
        <x:v>310356.73447511345</x:v>
      </x:c>
      <x:c r="R168" s="134" t="n">
        <x:f>IF(P168&gt;=0,P168,MIN(0,P168+Q168))</x:f>
        <x:v>504377.02543280297</x:v>
      </x:c>
      <x:c r="S168" s="134" t="n">
        <x:f>ROUNDDOWN(MAX(($AI$8+R168)-IF(($AI$8+R168)&lt;=4890000,1040000,IF(($AI$8+R168)&lt;=6550000,670000,IF(($AI$8+R168)&lt;=23500000,620000,IF(($AI$8+R168)&lt;=24000000,480000,IF(($AI$8+R168)&lt;=24500000,320000,IF(($AI$8+R168)&lt;=25000000,160000,0))))))-$AI$10,0),-3)</x:f>
        <x:v>6434000</x:v>
      </x:c>
      <x:c r="T168" s="134" t="n">
        <x:f>ROUNDDOWN(MAX(IF(S168&lt;=1949000,S168*5%,IF(S168&lt;=3299000,S168*10%-97500,IF(S168&lt;=6949000,S168*20%-427500,IF(S168&lt;=8999000,S168*23%-636000,IF(S168&lt;=17999000,S168*33%-1536000,IF(S168&lt;=39999000,S168*40%-2796000,S168*45%-4796000)))))),0),-2)+ROUNDDOWN(ROUNDDOWN(MAX(IF(S168&lt;=1949000,S168*5%,IF(S168&lt;=3299000,S168*10%-97500,IF(S168&lt;=6949000,S168*20%-427500,IF(S168&lt;=8999000,S168*23%-636000,IF(S168&lt;=17999000,S168*33%-1536000,IF(S168&lt;=39999000,S168*40%-2796000,S168*45%-4796000)))))),0),-2)*2.1%,0)</x:f>
        <x:v>877345</x:v>
      </x:c>
      <x:c r="U168" s="134" t="n">
        <x:f>ROUNDDOWN(MAX(($AI$8+R168)-IF(($AI$8+R168)&lt;=24000000,430000,IF(($AI$8+R168)&lt;=24500000,290000,IF(($AI$8+R168)&lt;=25000000,150000,0)))-$AI$10,0),-3)</x:f>
        <x:v>6624000</x:v>
      </x:c>
      <x:c r="V168" s="134" t="n">
        <x:f>ROUNDDOWN(U168*10%,0)+5000</x:f>
        <x:v>667400</x:v>
      </x:c>
      <x:c r="W168" s="134" t="n">
        <x:f>IF($AI$20="OK",$AI$16-(T168+V168),0)</x:f>
        <x:v>0</x:v>
      </x:c>
      <x:c r="X168" s="134" t="n">
        <x:f>F168+W168</x:f>
        <x:v>-563513.6408098338</x:v>
      </x:c>
      <x:c r="Y168" s="134" t="n">
        <x:f>Y167+X168</x:f>
        <x:v>-10446027.396306021</x:v>
      </x:c>
      <x:c r="Z168" s="134" t="n">
        <x:f>MAX(Z167-M168,0)</x:f>
        <x:v>0</x:v>
      </x:c>
      <x:c r="AA168" s="134" t="n">
        <x:f>MAX(AA167-N168,0)</x:f>
        <x:v>0</x:v>
      </x:c>
      <x:c r="AB168" s="134" t="n">
        <x:f>MAX('診断'!$C$7-'診断'!$C$50,0)+Z168+AA168+'診断'!$C$57</x:f>
        <x:v>35000000</x:v>
      </x:c>
      <x:c r="AC168" s="134" t="n">
        <x:f>MAX(J168-AB168-(J168*'診断'!$C$24+'診断'!$C$25)-'診断'!$C$58,0)</x:f>
        <x:v>0</x:v>
      </x:c>
      <x:c r="AD168" s="134" t="n">
        <x:f>IF($AI$20&lt;&gt;"OK",0,AC168*IF(AG168="長期",15%+5%+15%*2.1%,30%+9%+30%*2.1%))</x:f>
        <x:v>0</x:v>
      </x:c>
      <x:c r="AE168" s="134" t="n">
        <x:f>J168-(J168*'診断'!$C$24+'診断'!$C$25)-I168-AD168</x:f>
        <x:v>10150599.447725244</x:v>
      </x:c>
      <x:c r="AF168" s="134" t="n">
        <x:f>Y168+AE168-MAX(0,'診断'!$C$7+'診断'!$C$8-'診断'!$C$9)</x:f>
        <x:v>-795427.9485807773</x:v>
      </x:c>
      <x:c r="AG168" s="406" t="str">
        <x:f>IF('診断'!$C$49&lt;DATE(YEAR('診断'!$C$49)+A168-1-5,1,1),"長期","短期")</x:f>
        <x:v>長期</x:v>
      </x:c>
    </x:row>
    <x:row r="169" ht="20" customHeight="1">
      <x:c r="A169" s="197" t="n">
        <x:v>22</x:v>
      </x:c>
      <x:c r="B169" s="242" t="n">
        <x:f>'診断'!$C$12*12*'診断'!$D$30*'診断'!$D$31*(1-'診断'!$C$19)^(A169-1)</x:f>
        <x:v>1333929.5681081484</x:v>
      </x:c>
      <x:c r="C169" s="242" t="n">
        <x:f>(('診断'!$C$13+'診断'!$C$14)*12+'診断'!$C$21+'診断'!$C$22+B169*'診断'!$C$15)*'診断'!$D$33+'診断'!$C$23*'診断'!$D$34</x:f>
        <x:v>516696.4784054074</x:v>
      </x:c>
      <x:c r="D169" s="242" t="n">
        <x:f>B169-C169</x:f>
        <x:v>817233.089702741</x:v>
      </x:c>
      <x:c r="E169" s="242" t="n">
        <x:f>IF(A169&lt;='診断'!$C$11,-PMT('診断'!$D$32/12,'診断'!$C$11*12,'診断'!$C$9)*12,0)</x:f>
        <x:v>1387114.7359884677</x:v>
      </x:c>
      <x:c r="F169" s="242" t="n">
        <x:f>D169-E169</x:f>
        <x:v>-569881.6462857267</x:v>
      </x:c>
      <x:c r="G169" s="242" t="n">
        <x:f>G168+F169</x:f>
        <x:v>-11015909.042591747</x:v>
      </x:c>
      <x:c r="H169" s="242" t="n">
        <x:f>H168+MAX(0,-F169)</x:f>
        <x:v>11015909.042591747</x:v>
      </x:c>
      <x:c r="I169" s="242" t="n">
        <x:f>IF(A169&gt;='診断'!$C$11,0,MAX(0,-FV('診断'!$D$32/12,A169*12,PMT('診断'!$D$32/12,'診断'!$C$11*12,'診断'!$C$9),'診断'!$C$9)))</x:f>
        <x:v>16067368.176632985</x:v>
      </x:c>
      <x:c r="J169" s="242" t="n">
        <x:f>'診断'!$C$7*(1+'診断'!$D$35)^A169</x:f>
        <x:v>28057070.633866604</x:v>
      </x:c>
      <x:c r="K169" s="242" t="n">
        <x:f>J169*(1-'診断'!$C$24)-'診断'!$C$25-I169</x:f>
        <x:v>10963819.126316018</x:v>
      </x:c>
      <x:c r="L169" s="242" t="n">
        <x:f>MAX(E169-MAX(I168-I169,0),0)</x:f>
        <x:v>299842.6603982074</x:v>
      </x:c>
      <x:c r="M169" s="242" t="n">
        <x:f>IF(OR($AI$20&lt;&gt;"OK",A169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168-1,0)))</x:f>
        <x:v>0</x:v>
      </x:c>
      <x:c r="N169" s="242" t="n">
        <x:f>IF(OR($AI$20&lt;&gt;"OK",A169&gt;'診断'!$C$16),0,MIN('診断'!$C$50*(1-'診断'!$C$53)*ROUNDUP(1/MAX(2,ROUNDDOWN(IF('診断'!$C$52&gt;=15,15*20%,(15-'診断'!$C$52)+'診断'!$C$52*20%),0)),3)*(12)/12,MAX(AA168-1,0)))</x:f>
        <x:v>0</x:v>
      </x:c>
      <x:c r="O169" s="242" t="n">
        <x:f>M169+N169</x:f>
        <x:v>0</x:v>
      </x:c>
      <x:c r="P169" s="134" t="n">
        <x:f>B169-C169-L169-O169</x:f>
        <x:v>517390.42930453364</x:v>
      </x:c>
      <x:c r="Q169" s="134" t="n">
        <x:f>L169*IF('診断'!$C$9&gt;0,$AI$17/'診断'!$C$9,0)</x:f>
        <x:v>291513.69760936825</x:v>
      </x:c>
      <x:c r="R169" s="134" t="n">
        <x:f>IF(P169&gt;=0,P169,MIN(0,P169+Q169))</x:f>
        <x:v>517390.42930453364</x:v>
      </x:c>
      <x:c r="S169" s="134" t="n">
        <x:f>ROUNDDOWN(MAX(($AI$8+R169)-IF(($AI$8+R169)&lt;=4890000,1040000,IF(($AI$8+R169)&lt;=6550000,670000,IF(($AI$8+R169)&lt;=23500000,620000,IF(($AI$8+R169)&lt;=24000000,480000,IF(($AI$8+R169)&lt;=24500000,320000,IF(($AI$8+R169)&lt;=25000000,160000,0))))))-$AI$10,0),-3)</x:f>
        <x:v>6447000</x:v>
      </x:c>
      <x:c r="T169" s="134" t="n">
        <x:f>ROUNDDOWN(MAX(IF(S169&lt;=1949000,S169*5%,IF(S169&lt;=3299000,S169*10%-97500,IF(S169&lt;=6949000,S169*20%-427500,IF(S169&lt;=8999000,S169*23%-636000,IF(S169&lt;=17999000,S169*33%-1536000,IF(S169&lt;=39999000,S169*40%-2796000,S169*45%-4796000)))))),0),-2)+ROUNDDOWN(ROUNDDOWN(MAX(IF(S169&lt;=1949000,S169*5%,IF(S169&lt;=3299000,S169*10%-97500,IF(S169&lt;=6949000,S169*20%-427500,IF(S169&lt;=8999000,S169*23%-636000,IF(S169&lt;=17999000,S169*33%-1536000,IF(S169&lt;=39999000,S169*40%-2796000,S169*45%-4796000)))))),0),-2)*2.1%,0)</x:f>
        <x:v>879999</x:v>
      </x:c>
      <x:c r="U169" s="134" t="n">
        <x:f>ROUNDDOWN(MAX(($AI$8+R169)-IF(($AI$8+R169)&lt;=24000000,430000,IF(($AI$8+R169)&lt;=24500000,290000,IF(($AI$8+R169)&lt;=25000000,150000,0)))-$AI$10,0),-3)</x:f>
        <x:v>6637000</x:v>
      </x:c>
      <x:c r="V169" s="134" t="n">
        <x:f>ROUNDDOWN(U169*10%,0)+5000</x:f>
        <x:v>668700</x:v>
      </x:c>
      <x:c r="W169" s="134" t="n">
        <x:f>IF($AI$20="OK",$AI$16-(T169+V169),0)</x:f>
        <x:v>0</x:v>
      </x:c>
      <x:c r="X169" s="134" t="n">
        <x:f>F169+W169</x:f>
        <x:v>-569881.6462857267</x:v>
      </x:c>
      <x:c r="Y169" s="134" t="n">
        <x:f>Y168+X169</x:f>
        <x:v>-11015909.042591747</x:v>
      </x:c>
      <x:c r="Z169" s="134" t="n">
        <x:f>MAX(Z168-M169,0)</x:f>
        <x:v>0</x:v>
      </x:c>
      <x:c r="AA169" s="134" t="n">
        <x:f>MAX(AA168-N169,0)</x:f>
        <x:v>0</x:v>
      </x:c>
      <x:c r="AB169" s="134" t="n">
        <x:f>MAX('診断'!$C$7-'診断'!$C$50,0)+Z169+AA169+'診断'!$C$57</x:f>
        <x:v>35000000</x:v>
      </x:c>
      <x:c r="AC169" s="134" t="n">
        <x:f>MAX(J169-AB169-(J169*'診断'!$C$24+'診断'!$C$25)-'診断'!$C$58,0)</x:f>
        <x:v>0</x:v>
      </x:c>
      <x:c r="AD169" s="134" t="n">
        <x:f>IF($AI$20&lt;&gt;"OK",0,AC169*IF(AG169="長期",15%+5%+15%*2.1%,30%+9%+30%*2.1%))</x:f>
        <x:v>0</x:v>
      </x:c>
      <x:c r="AE169" s="134" t="n">
        <x:f>J169-(J169*'診断'!$C$24+'診断'!$C$25)-I169-AD169</x:f>
        <x:v>10963819.126316022</x:v>
      </x:c>
      <x:c r="AF169" s="134" t="n">
        <x:f>Y169+AE169-MAX(0,'診断'!$C$7+'診断'!$C$8-'診断'!$C$9)</x:f>
        <x:v>-552089.9162757248</x:v>
      </x:c>
      <x:c r="AG169" s="406" t="str">
        <x:f>IF('診断'!$C$49&lt;DATE(YEAR('診断'!$C$49)+A169-1-5,1,1),"長期","短期")</x:f>
        <x:v>長期</x:v>
      </x:c>
    </x:row>
    <x:row r="170" ht="20" customHeight="1">
      <x:c r="A170" s="197" t="n">
        <x:v>23</x:v>
      </x:c>
      <x:c r="B170" s="242" t="n">
        <x:f>'診断'!$C$12*12*'診断'!$D$30*'診断'!$D$31*(1-'診断'!$C$19)^(A170-1)</x:f>
        <x:v>1327259.9202676076</x:v>
      </x:c>
      <x:c r="C170" s="242" t="n">
        <x:f>(('診断'!$C$13+'診断'!$C$14)*12+'診断'!$C$21+'診断'!$C$22+B170*'診断'!$C$15)*'診断'!$D$33+'診断'!$C$23*'診断'!$D$34</x:f>
        <x:v>516362.99601338035</x:v>
      </x:c>
      <x:c r="D170" s="242" t="n">
        <x:f>B170-C170</x:f>
        <x:v>810896.9242542272</x:v>
      </x:c>
      <x:c r="E170" s="242" t="n">
        <x:f>IF(A170&lt;='診断'!$C$11,-PMT('診断'!$D$32/12,'診断'!$C$11*12,'診断'!$C$9)*12,0)</x:f>
        <x:v>1387114.7359884677</x:v>
      </x:c>
      <x:c r="F170" s="242" t="n">
        <x:f>D170-E170</x:f>
        <x:v>-576217.8117342405</x:v>
      </x:c>
      <x:c r="G170" s="242" t="n">
        <x:f>G169+F170</x:f>
        <x:v>-11592126.854325987</x:v>
      </x:c>
      <x:c r="H170" s="242" t="n">
        <x:f>H169+MAX(0,-F170)</x:f>
        <x:v>11592126.854325987</x:v>
      </x:c>
      <x:c r="I170" s="242" t="n">
        <x:f>IF(A170&gt;='診断'!$C$11,0,MAX(0,-FV('診断'!$D$32/12,A170*12,PMT('診断'!$D$32/12,'診断'!$C$11*12,'診断'!$C$9),'診断'!$C$9)))</x:f>
        <x:v>14960362.933748163</x:v>
      </x:c>
      <x:c r="J170" s="242" t="n">
        <x:f>'診断'!$C$7*(1+'診断'!$D$35)^A170</x:f>
        <x:v>27776499.927527938</x:v>
      </x:c>
      <x:c r="K170" s="242" t="n">
        <x:f>J170*(1-'診断'!$C$24)-'診断'!$C$25-I170</x:f>
        <x:v>11799512.496171352</x:v>
      </x:c>
      <x:c r="L170" s="242" t="n">
        <x:f>MAX(E170-MAX(I169-I170,0),0)</x:f>
        <x:v>280109.4931036455</x:v>
      </x:c>
      <x:c r="M170" s="242" t="n">
        <x:f>IF(OR($AI$20&lt;&gt;"OK",A170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169-1,0)))</x:f>
        <x:v>0</x:v>
      </x:c>
      <x:c r="N170" s="242" t="n">
        <x:f>IF(OR($AI$20&lt;&gt;"OK",A170&gt;'診断'!$C$16),0,MIN('診断'!$C$50*(1-'診断'!$C$53)*ROUNDUP(1/MAX(2,ROUNDDOWN(IF('診断'!$C$52&gt;=15,15*20%,(15-'診断'!$C$52)+'診断'!$C$52*20%),0)),3)*(12)/12,MAX(AA169-1,0)))</x:f>
        <x:v>0</x:v>
      </x:c>
      <x:c r="O170" s="242" t="n">
        <x:f>M170+N170</x:f>
        <x:v>0</x:v>
      </x:c>
      <x:c r="P170" s="134" t="n">
        <x:f>B170-C170-L170-O170</x:f>
        <x:v>530787.4311505817</x:v>
      </x:c>
      <x:c r="Q170" s="134" t="n">
        <x:f>L170*IF('診断'!$C$9&gt;0,$AI$17/'診断'!$C$9,0)</x:f>
        <x:v>272328.67385076644</x:v>
      </x:c>
      <x:c r="R170" s="134" t="n">
        <x:f>IF(P170&gt;=0,P170,MIN(0,P170+Q170))</x:f>
        <x:v>530787.4311505817</x:v>
      </x:c>
      <x:c r="S170" s="134" t="n">
        <x:f>ROUNDDOWN(MAX(($AI$8+R170)-IF(($AI$8+R170)&lt;=4890000,1040000,IF(($AI$8+R170)&lt;=6550000,670000,IF(($AI$8+R170)&lt;=23500000,620000,IF(($AI$8+R170)&lt;=24000000,480000,IF(($AI$8+R170)&lt;=24500000,320000,IF(($AI$8+R170)&lt;=25000000,160000,0))))))-$AI$10,0),-3)</x:f>
        <x:v>6460000</x:v>
      </x:c>
      <x:c r="T170" s="134" t="n">
        <x:f>ROUNDDOWN(MAX(IF(S170&lt;=1949000,S170*5%,IF(S170&lt;=3299000,S170*10%-97500,IF(S170&lt;=6949000,S170*20%-427500,IF(S170&lt;=8999000,S170*23%-636000,IF(S170&lt;=17999000,S170*33%-1536000,IF(S170&lt;=39999000,S170*40%-2796000,S170*45%-4796000)))))),0),-2)+ROUNDDOWN(ROUNDDOWN(MAX(IF(S170&lt;=1949000,S170*5%,IF(S170&lt;=3299000,S170*10%-97500,IF(S170&lt;=6949000,S170*20%-427500,IF(S170&lt;=8999000,S170*23%-636000,IF(S170&lt;=17999000,S170*33%-1536000,IF(S170&lt;=39999000,S170*40%-2796000,S170*45%-4796000)))))),0),-2)*2.1%,0)</x:f>
        <x:v>882654</x:v>
      </x:c>
      <x:c r="U170" s="134" t="n">
        <x:f>ROUNDDOWN(MAX(($AI$8+R170)-IF(($AI$8+R170)&lt;=24000000,430000,IF(($AI$8+R170)&lt;=24500000,290000,IF(($AI$8+R170)&lt;=25000000,150000,0)))-$AI$10,0),-3)</x:f>
        <x:v>6650000</x:v>
      </x:c>
      <x:c r="V170" s="134" t="n">
        <x:f>ROUNDDOWN(U170*10%,0)+5000</x:f>
        <x:v>670000</x:v>
      </x:c>
      <x:c r="W170" s="134" t="n">
        <x:f>IF($AI$20="OK",$AI$16-(T170+V170),0)</x:f>
        <x:v>0</x:v>
      </x:c>
      <x:c r="X170" s="134" t="n">
        <x:f>F170+W170</x:f>
        <x:v>-576217.8117342405</x:v>
      </x:c>
      <x:c r="Y170" s="134" t="n">
        <x:f>Y169+X170</x:f>
        <x:v>-11592126.854325987</x:v>
      </x:c>
      <x:c r="Z170" s="134" t="n">
        <x:f>MAX(Z169-M170,0)</x:f>
        <x:v>0</x:v>
      </x:c>
      <x:c r="AA170" s="134" t="n">
        <x:f>MAX(AA169-N170,0)</x:f>
        <x:v>0</x:v>
      </x:c>
      <x:c r="AB170" s="134" t="n">
        <x:f>MAX('診断'!$C$7-'診断'!$C$50,0)+Z170+AA170+'診断'!$C$57</x:f>
        <x:v>35000000</x:v>
      </x:c>
      <x:c r="AC170" s="134" t="n">
        <x:f>MAX(J170-AB170-(J170*'診断'!$C$24+'診断'!$C$25)-'診断'!$C$58,0)</x:f>
        <x:v>0</x:v>
      </x:c>
      <x:c r="AD170" s="134" t="n">
        <x:f>IF($AI$20&lt;&gt;"OK",0,AC170*IF(AG170="長期",15%+5%+15%*2.1%,30%+9%+30%*2.1%))</x:f>
        <x:v>0</x:v>
      </x:c>
      <x:c r="AE170" s="134" t="n">
        <x:f>J170-(J170*'診断'!$C$24+'診断'!$C$25)-I170-AD170</x:f>
        <x:v>11799512.496171352</x:v>
      </x:c>
      <x:c r="AF170" s="134" t="n">
        <x:f>Y170+AE170-MAX(0,'診断'!$C$7+'診断'!$C$8-'診断'!$C$9)</x:f>
        <x:v>-292614.3581546359</x:v>
      </x:c>
      <x:c r="AG170" s="406" t="str">
        <x:f>IF('診断'!$C$49&lt;DATE(YEAR('診断'!$C$49)+A170-1-5,1,1),"長期","短期")</x:f>
        <x:v>長期</x:v>
      </x:c>
    </x:row>
    <x:row r="171" ht="20" customHeight="1">
      <x:c r="A171" s="197" t="n">
        <x:v>24</x:v>
      </x:c>
      <x:c r="B171" s="242" t="n">
        <x:f>'診断'!$C$12*12*'診断'!$D$30*'診断'!$D$31*(1-'診断'!$C$19)^(A171-1)</x:f>
        <x:v>1320623.6206662694</x:v>
      </x:c>
      <x:c r="C171" s="242" t="n">
        <x:f>(('診断'!$C$13+'診断'!$C$14)*12+'診断'!$C$21+'診断'!$C$22+B171*'診断'!$C$15)*'診断'!$D$33+'診断'!$C$23*'診断'!$D$34</x:f>
        <x:v>516031.1810333135</x:v>
      </x:c>
      <x:c r="D171" s="242" t="n">
        <x:f>B171-C171</x:f>
        <x:v>804592.4396329559</x:v>
      </x:c>
      <x:c r="E171" s="242" t="n">
        <x:f>IF(A171&lt;='診断'!$C$11,-PMT('診断'!$D$32/12,'診断'!$C$11*12,'診断'!$C$9)*12,0)</x:f>
        <x:v>1387114.7359884677</x:v>
      </x:c>
      <x:c r="F171" s="242" t="n">
        <x:f>D171-E171</x:f>
        <x:v>-582522.2963555118</x:v>
      </x:c>
      <x:c r="G171" s="242" t="n">
        <x:f>G170+F171</x:f>
        <x:v>-12174649.1506815</x:v>
      </x:c>
      <x:c r="H171" s="242" t="n">
        <x:f>H170+MAX(0,-F171)</x:f>
        <x:v>12174649.1506815</x:v>
      </x:c>
      <x:c r="I171" s="242" t="n">
        <x:f>IF(A171&gt;='診断'!$C$11,0,MAX(0,-FV('診断'!$D$32/12,A171*12,PMT('診断'!$D$32/12,'診断'!$C$11*12,'診断'!$C$9),'診断'!$C$9)))</x:f>
        <x:v>13833266.381480701</x:v>
      </x:c>
      <x:c r="J171" s="242" t="n">
        <x:f>'診断'!$C$7*(1+'診断'!$D$35)^A171</x:f>
        <x:v>27498734.928252656</x:v>
      </x:c>
      <x:c r="K171" s="242" t="n">
        <x:f>J171*(1-'診断'!$C$24)-'診断'!$C$25-I171</x:f>
        <x:v>12658010.294139616</x:v>
      </x:c>
      <x:c r="L171" s="242" t="n">
        <x:f>MAX(E171-MAX(I170-I171,0),0)</x:f>
        <x:v>260018.18372100568</x:v>
      </x:c>
      <x:c r="M171" s="242" t="n">
        <x:f>IF(OR($AI$20&lt;&gt;"OK",A171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170-1,0)))</x:f>
        <x:v>0</x:v>
      </x:c>
      <x:c r="N171" s="242" t="n">
        <x:f>IF(OR($AI$20&lt;&gt;"OK",A171&gt;'診断'!$C$16),0,MIN('診断'!$C$50*(1-'診断'!$C$53)*ROUNDUP(1/MAX(2,ROUNDDOWN(IF('診断'!$C$52&gt;=15,15*20%,(15-'診断'!$C$52)+'診断'!$C$52*20%),0)),3)*(12)/12,MAX(AA170-1,0)))</x:f>
        <x:v>0</x:v>
      </x:c>
      <x:c r="O171" s="242" t="n">
        <x:f>M171+N171</x:f>
        <x:v>0</x:v>
      </x:c>
      <x:c r="P171" s="134" t="n">
        <x:f>B171-C171-L171-O171</x:f>
        <x:v>544574.2559119503</x:v>
      </x:c>
      <x:c r="Q171" s="134" t="n">
        <x:f>L171*IF('診断'!$C$9&gt;0,$AI$17/'診断'!$C$9,0)</x:f>
        <x:v>252795.4563954222</x:v>
      </x:c>
      <x:c r="R171" s="134" t="n">
        <x:f>IF(P171&gt;=0,P171,MIN(0,P171+Q171))</x:f>
        <x:v>544574.2559119503</x:v>
      </x:c>
      <x:c r="S171" s="134" t="n">
        <x:f>ROUNDDOWN(MAX(($AI$8+R171)-IF(($AI$8+R171)&lt;=4890000,1040000,IF(($AI$8+R171)&lt;=6550000,670000,IF(($AI$8+R171)&lt;=23500000,620000,IF(($AI$8+R171)&lt;=24000000,480000,IF(($AI$8+R171)&lt;=24500000,320000,IF(($AI$8+R171)&lt;=25000000,160000,0))))))-$AI$10,0),-3)</x:f>
        <x:v>6474000</x:v>
      </x:c>
      <x:c r="T171" s="134" t="n">
        <x:f>ROUNDDOWN(MAX(IF(S171&lt;=1949000,S171*5%,IF(S171&lt;=3299000,S171*10%-97500,IF(S171&lt;=6949000,S171*20%-427500,IF(S171&lt;=8999000,S171*23%-636000,IF(S171&lt;=17999000,S171*33%-1536000,IF(S171&lt;=39999000,S171*40%-2796000,S171*45%-4796000)))))),0),-2)+ROUNDDOWN(ROUNDDOWN(MAX(IF(S171&lt;=1949000,S171*5%,IF(S171&lt;=3299000,S171*10%-97500,IF(S171&lt;=6949000,S171*20%-427500,IF(S171&lt;=8999000,S171*23%-636000,IF(S171&lt;=17999000,S171*33%-1536000,IF(S171&lt;=39999000,S171*40%-2796000,S171*45%-4796000)))))),0),-2)*2.1%,0)</x:f>
        <x:v>885513</x:v>
      </x:c>
      <x:c r="U171" s="134" t="n">
        <x:f>ROUNDDOWN(MAX(($AI$8+R171)-IF(($AI$8+R171)&lt;=24000000,430000,IF(($AI$8+R171)&lt;=24500000,290000,IF(($AI$8+R171)&lt;=25000000,150000,0)))-$AI$10,0),-3)</x:f>
        <x:v>6664000</x:v>
      </x:c>
      <x:c r="V171" s="134" t="n">
        <x:f>ROUNDDOWN(U171*10%,0)+5000</x:f>
        <x:v>671400</x:v>
      </x:c>
      <x:c r="W171" s="134" t="n">
        <x:f>IF($AI$20="OK",$AI$16-(T171+V171),0)</x:f>
        <x:v>0</x:v>
      </x:c>
      <x:c r="X171" s="134" t="n">
        <x:f>F171+W171</x:f>
        <x:v>-582522.2963555118</x:v>
      </x:c>
      <x:c r="Y171" s="134" t="n">
        <x:f>Y170+X171</x:f>
        <x:v>-12174649.1506815</x:v>
      </x:c>
      <x:c r="Z171" s="134" t="n">
        <x:f>MAX(Z170-M171,0)</x:f>
        <x:v>0</x:v>
      </x:c>
      <x:c r="AA171" s="134" t="n">
        <x:f>MAX(AA170-N171,0)</x:f>
        <x:v>0</x:v>
      </x:c>
      <x:c r="AB171" s="134" t="n">
        <x:f>MAX('診断'!$C$7-'診断'!$C$50,0)+Z171+AA171+'診断'!$C$57</x:f>
        <x:v>35000000</x:v>
      </x:c>
      <x:c r="AC171" s="134" t="n">
        <x:f>MAX(J171-AB171-(J171*'診断'!$C$24+'診断'!$C$25)-'診断'!$C$58,0)</x:f>
        <x:v>0</x:v>
      </x:c>
      <x:c r="AD171" s="134" t="n">
        <x:f>IF($AI$20&lt;&gt;"OK",0,AC171*IF(AG171="長期",15%+5%+15%*2.1%,30%+9%+30%*2.1%))</x:f>
        <x:v>0</x:v>
      </x:c>
      <x:c r="AE171" s="134" t="n">
        <x:f>J171-(J171*'診断'!$C$24+'診断'!$C$25)-I171-AD171</x:f>
        <x:v>12658010.294139616</x:v>
      </x:c>
      <x:c r="AF171" s="134" t="n">
        <x:f>Y171+AE171-MAX(0,'診断'!$C$7+'診断'!$C$8-'診断'!$C$9)</x:f>
        <x:v>-16638.8565418832</x:v>
      </x:c>
      <x:c r="AG171" s="406" t="str">
        <x:f>IF('診断'!$C$49&lt;DATE(YEAR('診断'!$C$49)+A171-1-5,1,1),"長期","短期")</x:f>
        <x:v>長期</x:v>
      </x:c>
    </x:row>
    <x:row r="172" ht="20" customHeight="1">
      <x:c r="A172" s="197" t="n">
        <x:v>25</x:v>
      </x:c>
      <x:c r="B172" s="242" t="n">
        <x:f>'診断'!$C$12*12*'診断'!$D$30*'診断'!$D$31*(1-'診断'!$C$19)^(A172-1)</x:f>
        <x:v>1314020.5025629383</x:v>
      </x:c>
      <x:c r="C172" s="242" t="n">
        <x:f>(('診断'!$C$13+'診断'!$C$14)*12+'診断'!$C$21+'診断'!$C$22+B172*'診断'!$C$15)*'診断'!$D$33+'診断'!$C$23*'診断'!$D$34</x:f>
        <x:v>515701.0251281469</x:v>
      </x:c>
      <x:c r="D172" s="242" t="n">
        <x:f>B172-C172</x:f>
        <x:v>798319.4774347914</x:v>
      </x:c>
      <x:c r="E172" s="242" t="n">
        <x:f>IF(A172&lt;='診断'!$C$11,-PMT('診断'!$D$32/12,'診断'!$C$11*12,'診断'!$C$9)*12,0)</x:f>
        <x:v>1387114.7359884677</x:v>
      </x:c>
      <x:c r="F172" s="242" t="n">
        <x:f>D172-E172</x:f>
        <x:v>-588795.2585536763</x:v>
      </x:c>
      <x:c r="G172" s="242" t="n">
        <x:f>G171+F172</x:f>
        <x:v>-12763444.409235176</x:v>
      </x:c>
      <x:c r="H172" s="242" t="n">
        <x:f>H171+MAX(0,-F172)</x:f>
        <x:v>12763444.409235176</x:v>
      </x:c>
      <x:c r="I172" s="242" t="n">
        <x:f>IF(A172&gt;='診断'!$C$11,0,MAX(0,-FV('診断'!$D$32/12,A172*12,PMT('診断'!$D$32/12,'診断'!$C$11*12,'診断'!$C$9),'診断'!$C$9)))</x:f>
        <x:v>12685713.87773399</x:v>
      </x:c>
      <x:c r="J172" s="242" t="n">
        <x:f>'診断'!$C$7*(1+'診断'!$D$35)^A172</x:f>
        <x:v>27223747.578970134</x:v>
      </x:c>
      <x:c r="K172" s="242" t="n">
        <x:f>J172*(1-'診断'!$C$24)-'診断'!$C$25-I172</x:f>
        <x:v>13539650.031130128</x:v>
      </x:c>
      <x:c r="L172" s="242" t="n">
        <x:f>MAX(E172-MAX(I171-I172,0),0)</x:f>
        <x:v>239562.23224175698</x:v>
      </x:c>
      <x:c r="M172" s="242" t="n">
        <x:f>IF(OR($AI$20&lt;&gt;"OK",A172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171-1,0)))</x:f>
        <x:v>0</x:v>
      </x:c>
      <x:c r="N172" s="242" t="n">
        <x:f>IF(OR($AI$20&lt;&gt;"OK",A172&gt;'診断'!$C$16),0,MIN('診断'!$C$50*(1-'診断'!$C$53)*ROUNDUP(1/MAX(2,ROUNDDOWN(IF('診断'!$C$52&gt;=15,15*20%,(15-'診断'!$C$52)+'診断'!$C$52*20%),0)),3)*(12)/12,MAX(AA171-1,0)))</x:f>
        <x:v>0</x:v>
      </x:c>
      <x:c r="O172" s="242" t="n">
        <x:f>M172+N172</x:f>
        <x:v>0</x:v>
      </x:c>
      <x:c r="P172" s="134" t="n">
        <x:f>B172-C172-L172-O172</x:f>
        <x:v>558757.2451930344</x:v>
      </x:c>
      <x:c r="Q172" s="134" t="n">
        <x:f>L172*IF('診断'!$C$9&gt;0,$AI$17/'診断'!$C$9,0)</x:f>
        <x:v>232907.72579059706</x:v>
      </x:c>
      <x:c r="R172" s="134" t="n">
        <x:f>IF(P172&gt;=0,P172,MIN(0,P172+Q172))</x:f>
        <x:v>558757.2451930344</x:v>
      </x:c>
      <x:c r="S172" s="134" t="n">
        <x:f>ROUNDDOWN(MAX(($AI$8+R172)-IF(($AI$8+R172)&lt;=4890000,1040000,IF(($AI$8+R172)&lt;=6550000,670000,IF(($AI$8+R172)&lt;=23500000,620000,IF(($AI$8+R172)&lt;=24000000,480000,IF(($AI$8+R172)&lt;=24500000,320000,IF(($AI$8+R172)&lt;=25000000,160000,0))))))-$AI$10,0),-3)</x:f>
        <x:v>6488000</x:v>
      </x:c>
      <x:c r="T172" s="134" t="n">
        <x:f>ROUNDDOWN(MAX(IF(S172&lt;=1949000,S172*5%,IF(S172&lt;=3299000,S172*10%-97500,IF(S172&lt;=6949000,S172*20%-427500,IF(S172&lt;=8999000,S172*23%-636000,IF(S172&lt;=17999000,S172*33%-1536000,IF(S172&lt;=39999000,S172*40%-2796000,S172*45%-4796000)))))),0),-2)+ROUNDDOWN(ROUNDDOWN(MAX(IF(S172&lt;=1949000,S172*5%,IF(S172&lt;=3299000,S172*10%-97500,IF(S172&lt;=6949000,S172*20%-427500,IF(S172&lt;=8999000,S172*23%-636000,IF(S172&lt;=17999000,S172*33%-1536000,IF(S172&lt;=39999000,S172*40%-2796000,S172*45%-4796000)))))),0),-2)*2.1%,0)</x:f>
        <x:v>888372</x:v>
      </x:c>
      <x:c r="U172" s="134" t="n">
        <x:f>ROUNDDOWN(MAX(($AI$8+R172)-IF(($AI$8+R172)&lt;=24000000,430000,IF(($AI$8+R172)&lt;=24500000,290000,IF(($AI$8+R172)&lt;=25000000,150000,0)))-$AI$10,0),-3)</x:f>
        <x:v>6678000</x:v>
      </x:c>
      <x:c r="V172" s="134" t="n">
        <x:f>ROUNDDOWN(U172*10%,0)+5000</x:f>
        <x:v>672800</x:v>
      </x:c>
      <x:c r="W172" s="134" t="n">
        <x:f>IF($AI$20="OK",$AI$16-(T172+V172),0)</x:f>
        <x:v>0</x:v>
      </x:c>
      <x:c r="X172" s="134" t="n">
        <x:f>F172+W172</x:f>
        <x:v>-588795.2585536763</x:v>
      </x:c>
      <x:c r="Y172" s="134" t="n">
        <x:f>Y171+X172</x:f>
        <x:v>-12763444.409235176</x:v>
      </x:c>
      <x:c r="Z172" s="134" t="n">
        <x:f>MAX(Z171-M172,0)</x:f>
        <x:v>0</x:v>
      </x:c>
      <x:c r="AA172" s="134" t="n">
        <x:f>MAX(AA171-N172,0)</x:f>
        <x:v>0</x:v>
      </x:c>
      <x:c r="AB172" s="134" t="n">
        <x:f>MAX('診断'!$C$7-'診断'!$C$50,0)+Z172+AA172+'診断'!$C$57</x:f>
        <x:v>35000000</x:v>
      </x:c>
      <x:c r="AC172" s="134" t="n">
        <x:f>MAX(J172-AB172-(J172*'診断'!$C$24+'診断'!$C$25)-'診断'!$C$58,0)</x:f>
        <x:v>0</x:v>
      </x:c>
      <x:c r="AD172" s="134" t="n">
        <x:f>IF($AI$20&lt;&gt;"OK",0,AC172*IF(AG172="長期",15%+5%+15%*2.1%,30%+9%+30%*2.1%))</x:f>
        <x:v>0</x:v>
      </x:c>
      <x:c r="AE172" s="134" t="n">
        <x:f>J172-(J172*'診断'!$C$24+'診断'!$C$25)-I172-AD172</x:f>
        <x:v>13539650.031130128</x:v>
      </x:c>
      <x:c r="AF172" s="134" t="n">
        <x:f>Y172+AE172-MAX(0,'診断'!$C$7+'診断'!$C$8-'診断'!$C$9)</x:f>
        <x:v>276205.6218949519</x:v>
      </x:c>
      <x:c r="AG172" s="406" t="str">
        <x:f>IF('診断'!$C$49&lt;DATE(YEAR('診断'!$C$49)+A172-1-5,1,1),"長期","短期")</x:f>
        <x:v>長期</x:v>
      </x:c>
    </x:row>
    <x:row r="173" ht="20" customHeight="1">
      <x:c r="A173" s="197" t="n">
        <x:v>26</x:v>
      </x:c>
      <x:c r="B173" s="242" t="n">
        <x:f>'診断'!$C$12*12*'診断'!$D$30*'診断'!$D$31*(1-'診断'!$C$19)^(A173-1)</x:f>
        <x:v>1307450.4000501235</x:v>
      </x:c>
      <x:c r="C173" s="242" t="n">
        <x:f>(('診断'!$C$13+'診断'!$C$14)*12+'診断'!$C$21+'診断'!$C$22+B173*'診断'!$C$15)*'診断'!$D$33+'診断'!$C$23*'診断'!$D$34</x:f>
        <x:v>515372.5200025062</x:v>
      </x:c>
      <x:c r="D173" s="242" t="n">
        <x:f>B173-C173</x:f>
        <x:v>792077.8800476172</x:v>
      </x:c>
      <x:c r="E173" s="242" t="n">
        <x:f>IF(A173&lt;='診断'!$C$11,-PMT('診断'!$D$32/12,'診断'!$C$11*12,'診断'!$C$9)*12,0)</x:f>
        <x:v>1387114.7359884677</x:v>
      </x:c>
      <x:c r="F173" s="242" t="n">
        <x:f>D173-E173</x:f>
        <x:v>-595036.8559408505</x:v>
      </x:c>
      <x:c r="G173" s="242" t="n">
        <x:f>G172+F173</x:f>
        <x:v>-13358481.265176026</x:v>
      </x:c>
      <x:c r="H173" s="242" t="n">
        <x:f>H172+MAX(0,-F173)</x:f>
        <x:v>13358481.265176026</x:v>
      </x:c>
      <x:c r="I173" s="242" t="n">
        <x:f>IF(A173&gt;='診断'!$C$11,0,MAX(0,-FV('診断'!$D$32/12,A173*12,PMT('診断'!$D$32/12,'診断'!$C$11*12,'診断'!$C$9),'診断'!$C$9)))</x:f>
        <x:v>11517334.1624327</x:v>
      </x:c>
      <x:c r="J173" s="242" t="n">
        <x:f>'診断'!$C$7*(1+'診断'!$D$35)^A173</x:f>
        <x:v>26951510.103180427</x:v>
      </x:c>
      <x:c r="K173" s="242" t="n">
        <x:f>J173*(1-'診断'!$C$24)-'診断'!$C$25-I173</x:f>
        <x:v>14444776.107342772</x:v>
      </x:c>
      <x:c r="L173" s="242" t="n">
        <x:f>MAX(E173-MAX(I172-I173,0),0)</x:f>
        <x:v>218735.02068717754</x:v>
      </x:c>
      <x:c r="M173" s="242" t="n">
        <x:f>IF(OR($AI$20&lt;&gt;"OK",A173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172-1,0)))</x:f>
        <x:v>0</x:v>
      </x:c>
      <x:c r="N173" s="242" t="n">
        <x:f>IF(OR($AI$20&lt;&gt;"OK",A173&gt;'診断'!$C$16),0,MIN('診断'!$C$50*(1-'診断'!$C$53)*ROUNDUP(1/MAX(2,ROUNDDOWN(IF('診断'!$C$52&gt;=15,15*20%,(15-'診断'!$C$52)+'診断'!$C$52*20%),0)),3)*(12)/12,MAX(AA172-1,0)))</x:f>
        <x:v>0</x:v>
      </x:c>
      <x:c r="O173" s="242" t="n">
        <x:f>M173+N173</x:f>
        <x:v>0</x:v>
      </x:c>
      <x:c r="P173" s="134" t="n">
        <x:f>B173-C173-L173-O173</x:f>
        <x:v>573342.8593604397</x:v>
      </x:c>
      <x:c r="Q173" s="134" t="n">
        <x:f>L173*IF('診断'!$C$9&gt;0,$AI$17/'診断'!$C$9,0)</x:f>
        <x:v>212659.04789031149</x:v>
      </x:c>
      <x:c r="R173" s="134" t="n">
        <x:f>IF(P173&gt;=0,P173,MIN(0,P173+Q173))</x:f>
        <x:v>573342.8593604397</x:v>
      </x:c>
      <x:c r="S173" s="134" t="n">
        <x:f>ROUNDDOWN(MAX(($AI$8+R173)-IF(($AI$8+R173)&lt;=4890000,1040000,IF(($AI$8+R173)&lt;=6550000,670000,IF(($AI$8+R173)&lt;=23500000,620000,IF(($AI$8+R173)&lt;=24000000,480000,IF(($AI$8+R173)&lt;=24500000,320000,IF(($AI$8+R173)&lt;=25000000,160000,0))))))-$AI$10,0),-3)</x:f>
        <x:v>6503000</x:v>
      </x:c>
      <x:c r="T173" s="134" t="n">
        <x:f>ROUNDDOWN(MAX(IF(S173&lt;=1949000,S173*5%,IF(S173&lt;=3299000,S173*10%-97500,IF(S173&lt;=6949000,S173*20%-427500,IF(S173&lt;=8999000,S173*23%-636000,IF(S173&lt;=17999000,S173*33%-1536000,IF(S173&lt;=39999000,S173*40%-2796000,S173*45%-4796000)))))),0),-2)+ROUNDDOWN(ROUNDDOWN(MAX(IF(S173&lt;=1949000,S173*5%,IF(S173&lt;=3299000,S173*10%-97500,IF(S173&lt;=6949000,S173*20%-427500,IF(S173&lt;=8999000,S173*23%-636000,IF(S173&lt;=17999000,S173*33%-1536000,IF(S173&lt;=39999000,S173*40%-2796000,S173*45%-4796000)))))),0),-2)*2.1%,0)</x:f>
        <x:v>891435</x:v>
      </x:c>
      <x:c r="U173" s="134" t="n">
        <x:f>ROUNDDOWN(MAX(($AI$8+R173)-IF(($AI$8+R173)&lt;=24000000,430000,IF(($AI$8+R173)&lt;=24500000,290000,IF(($AI$8+R173)&lt;=25000000,150000,0)))-$AI$10,0),-3)</x:f>
        <x:v>6693000</x:v>
      </x:c>
      <x:c r="V173" s="134" t="n">
        <x:f>ROUNDDOWN(U173*10%,0)+5000</x:f>
        <x:v>674300</x:v>
      </x:c>
      <x:c r="W173" s="134" t="n">
        <x:f>IF($AI$20="OK",$AI$16-(T173+V173),0)</x:f>
        <x:v>0</x:v>
      </x:c>
      <x:c r="X173" s="134" t="n">
        <x:f>F173+W173</x:f>
        <x:v>-595036.8559408505</x:v>
      </x:c>
      <x:c r="Y173" s="134" t="n">
        <x:f>Y172+X173</x:f>
        <x:v>-13358481.265176026</x:v>
      </x:c>
      <x:c r="Z173" s="134" t="n">
        <x:f>MAX(Z172-M173,0)</x:f>
        <x:v>0</x:v>
      </x:c>
      <x:c r="AA173" s="134" t="n">
        <x:f>MAX(AA172-N173,0)</x:f>
        <x:v>0</x:v>
      </x:c>
      <x:c r="AB173" s="134" t="n">
        <x:f>MAX('診断'!$C$7-'診断'!$C$50,0)+Z173+AA173+'診断'!$C$57</x:f>
        <x:v>35000000</x:v>
      </x:c>
      <x:c r="AC173" s="134" t="n">
        <x:f>MAX(J173-AB173-(J173*'診断'!$C$24+'診断'!$C$25)-'診断'!$C$58,0)</x:f>
        <x:v>0</x:v>
      </x:c>
      <x:c r="AD173" s="134" t="n">
        <x:f>IF($AI$20&lt;&gt;"OK",0,AC173*IF(AG173="長期",15%+5%+15%*2.1%,30%+9%+30%*2.1%))</x:f>
        <x:v>0</x:v>
      </x:c>
      <x:c r="AE173" s="134" t="n">
        <x:f>J173-(J173*'診断'!$C$24+'診断'!$C$25)-I173-AD173</x:f>
        <x:v>14444776.107342772</x:v>
      </x:c>
      <x:c r="AF173" s="134" t="n">
        <x:f>Y173+AE173-MAX(0,'診断'!$C$7+'診断'!$C$8-'診断'!$C$9)</x:f>
        <x:v>586294.842166746</x:v>
      </x:c>
      <x:c r="AG173" s="406" t="str">
        <x:f>IF('診断'!$C$49&lt;DATE(YEAR('診断'!$C$49)+A173-1-5,1,1),"長期","短期")</x:f>
        <x:v>長期</x:v>
      </x:c>
    </x:row>
    <x:row r="174" ht="20" customHeight="1">
      <x:c r="A174" s="197" t="n">
        <x:v>27</x:v>
      </x:c>
      <x:c r="B174" s="242" t="n">
        <x:f>'診断'!$C$12*12*'診断'!$D$30*'診断'!$D$31*(1-'診断'!$C$19)^(A174-1)</x:f>
        <x:v>1300913.1480498728</x:v>
      </x:c>
      <x:c r="C174" s="242" t="n">
        <x:f>(('診断'!$C$13+'診断'!$C$14)*12+'診断'!$C$21+'診断'!$C$22+B174*'診断'!$C$15)*'診断'!$D$33+'診断'!$C$23*'診断'!$D$34</x:f>
        <x:v>515045.65740249364</x:v>
      </x:c>
      <x:c r="D174" s="242" t="n">
        <x:f>B174-C174</x:f>
        <x:v>785867.4906473792</x:v>
      </x:c>
      <x:c r="E174" s="242" t="n">
        <x:f>IF(A174&lt;='診断'!$C$11,-PMT('診断'!$D$32/12,'診断'!$C$11*12,'診断'!$C$9)*12,0)</x:f>
        <x:v>1387114.7359884677</x:v>
      </x:c>
      <x:c r="F174" s="242" t="n">
        <x:f>D174-E174</x:f>
        <x:v>-601247.2453410885</x:v>
      </x:c>
      <x:c r="G174" s="242" t="n">
        <x:f>G173+F174</x:f>
        <x:v>-13959728.510517115</x:v>
      </x:c>
      <x:c r="H174" s="242" t="n">
        <x:f>H173+MAX(0,-F174)</x:f>
        <x:v>13959728.510517115</x:v>
      </x:c>
      <x:c r="I174" s="242" t="n">
        <x:f>IF(A174&gt;='診断'!$C$11,0,MAX(0,-FV('診断'!$D$32/12,A174*12,PMT('診断'!$D$32/12,'診断'!$C$11*12,'診断'!$C$9),'診断'!$C$9)))</x:f>
        <x:v>10327749.237411395</x:v>
      </x:c>
      <x:c r="J174" s="242" t="n">
        <x:f>'診断'!$C$7*(1+'診断'!$D$35)^A174</x:f>
        <x:v>26681995.002148625</x:v>
      </x:c>
      <x:c r="K174" s="242" t="n">
        <x:f>J174*(1-'診断'!$C$24)-'診断'!$C$25-I174</x:f>
        <x:v>15373739.929666325</x:v>
      </x:c>
      <x:c r="L174" s="242" t="n">
        <x:f>MAX(E174-MAX(I173-I174,0),0)</x:f>
        <x:v>197529.81096716202</x:v>
      </x:c>
      <x:c r="M174" s="242" t="n">
        <x:f>IF(OR($AI$20&lt;&gt;"OK",A174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173-1,0)))</x:f>
        <x:v>0</x:v>
      </x:c>
      <x:c r="N174" s="242" t="n">
        <x:f>IF(OR($AI$20&lt;&gt;"OK",A174&gt;'診断'!$C$16),0,MIN('診断'!$C$50*(1-'診断'!$C$53)*ROUNDUP(1/MAX(2,ROUNDDOWN(IF('診断'!$C$52&gt;=15,15*20%,(15-'診断'!$C$52)+'診断'!$C$52*20%),0)),3)*(12)/12,MAX(AA173-1,0)))</x:f>
        <x:v>0</x:v>
      </x:c>
      <x:c r="O174" s="242" t="n">
        <x:f>M174+N174</x:f>
        <x:v>0</x:v>
      </x:c>
      <x:c r="P174" s="134" t="n">
        <x:f>B174-C174-L174-O174</x:f>
        <x:v>588337.6796802172</x:v>
      </x:c>
      <x:c r="Q174" s="134" t="n">
        <x:f>L174*IF('診断'!$C$9&gt;0,$AI$17/'診断'!$C$9,0)</x:f>
        <x:v>192042.87177362974</x:v>
      </x:c>
      <x:c r="R174" s="134" t="n">
        <x:f>IF(P174&gt;=0,P174,MIN(0,P174+Q174))</x:f>
        <x:v>588337.6796802172</x:v>
      </x:c>
      <x:c r="S174" s="134" t="n">
        <x:f>ROUNDDOWN(MAX(($AI$8+R174)-IF(($AI$8+R174)&lt;=4890000,1040000,IF(($AI$8+R174)&lt;=6550000,670000,IF(($AI$8+R174)&lt;=23500000,620000,IF(($AI$8+R174)&lt;=24000000,480000,IF(($AI$8+R174)&lt;=24500000,320000,IF(($AI$8+R174)&lt;=25000000,160000,0))))))-$AI$10,0),-3)</x:f>
        <x:v>6518000</x:v>
      </x:c>
      <x:c r="T174" s="134" t="n">
        <x:f>ROUNDDOWN(MAX(IF(S174&lt;=1949000,S174*5%,IF(S174&lt;=3299000,S174*10%-97500,IF(S174&lt;=6949000,S174*20%-427500,IF(S174&lt;=8999000,S174*23%-636000,IF(S174&lt;=17999000,S174*33%-1536000,IF(S174&lt;=39999000,S174*40%-2796000,S174*45%-4796000)))))),0),-2)+ROUNDDOWN(ROUNDDOWN(MAX(IF(S174&lt;=1949000,S174*5%,IF(S174&lt;=3299000,S174*10%-97500,IF(S174&lt;=6949000,S174*20%-427500,IF(S174&lt;=8999000,S174*23%-636000,IF(S174&lt;=17999000,S174*33%-1536000,IF(S174&lt;=39999000,S174*40%-2796000,S174*45%-4796000)))))),0),-2)*2.1%,0)</x:f>
        <x:v>894498</x:v>
      </x:c>
      <x:c r="U174" s="134" t="n">
        <x:f>ROUNDDOWN(MAX(($AI$8+R174)-IF(($AI$8+R174)&lt;=24000000,430000,IF(($AI$8+R174)&lt;=24500000,290000,IF(($AI$8+R174)&lt;=25000000,150000,0)))-$AI$10,0),-3)</x:f>
        <x:v>6708000</x:v>
      </x:c>
      <x:c r="V174" s="134" t="n">
        <x:f>ROUNDDOWN(U174*10%,0)+5000</x:f>
        <x:v>675800</x:v>
      </x:c>
      <x:c r="W174" s="134" t="n">
        <x:f>IF($AI$20="OK",$AI$16-(T174+V174),0)</x:f>
        <x:v>0</x:v>
      </x:c>
      <x:c r="X174" s="134" t="n">
        <x:f>F174+W174</x:f>
        <x:v>-601247.2453410885</x:v>
      </x:c>
      <x:c r="Y174" s="134" t="n">
        <x:f>Y173+X174</x:f>
        <x:v>-13959728.510517115</x:v>
      </x:c>
      <x:c r="Z174" s="134" t="n">
        <x:f>MAX(Z173-M174,0)</x:f>
        <x:v>0</x:v>
      </x:c>
      <x:c r="AA174" s="134" t="n">
        <x:f>MAX(AA173-N174,0)</x:f>
        <x:v>0</x:v>
      </x:c>
      <x:c r="AB174" s="134" t="n">
        <x:f>MAX('診断'!$C$7-'診断'!$C$50,0)+Z174+AA174+'診断'!$C$57</x:f>
        <x:v>35000000</x:v>
      </x:c>
      <x:c r="AC174" s="134" t="n">
        <x:f>MAX(J174-AB174-(J174*'診断'!$C$24+'診断'!$C$25)-'診断'!$C$58,0)</x:f>
        <x:v>0</x:v>
      </x:c>
      <x:c r="AD174" s="134" t="n">
        <x:f>IF($AI$20&lt;&gt;"OK",0,AC174*IF(AG174="長期",15%+5%+15%*2.1%,30%+9%+30%*2.1%))</x:f>
        <x:v>0</x:v>
      </x:c>
      <x:c r="AE174" s="134" t="n">
        <x:f>J174-(J174*'診断'!$C$24+'診断'!$C$25)-I174-AD174</x:f>
        <x:v>15373739.929666325</x:v>
      </x:c>
      <x:c r="AF174" s="134" t="n">
        <x:f>Y174+AE174-MAX(0,'診断'!$C$7+'診断'!$C$8-'診断'!$C$9)</x:f>
        <x:v>914011.4191492107</x:v>
      </x:c>
      <x:c r="AG174" s="406" t="str">
        <x:f>IF('診断'!$C$49&lt;DATE(YEAR('診断'!$C$49)+A174-1-5,1,1),"長期","短期")</x:f>
        <x:v>長期</x:v>
      </x:c>
    </x:row>
    <x:row r="175" ht="20" customHeight="1">
      <x:c r="A175" s="197" t="n">
        <x:v>28</x:v>
      </x:c>
      <x:c r="B175" s="242" t="n">
        <x:f>'診断'!$C$12*12*'診断'!$D$30*'診断'!$D$31*(1-'診断'!$C$19)^(A175-1)</x:f>
        <x:v>1294408.5823096235</x:v>
      </x:c>
      <x:c r="C175" s="242" t="n">
        <x:f>(('診断'!$C$13+'診断'!$C$14)*12+'診断'!$C$21+'診断'!$C$22+B175*'診断'!$C$15)*'診断'!$D$33+'診断'!$C$23*'診断'!$D$34</x:f>
        <x:v>514720.4291154812</x:v>
      </x:c>
      <x:c r="D175" s="242" t="n">
        <x:f>B175-C175</x:f>
        <x:v>779688.1531941423</x:v>
      </x:c>
      <x:c r="E175" s="242" t="n">
        <x:f>IF(A175&lt;='診断'!$C$11,-PMT('診断'!$D$32/12,'診断'!$C$11*12,'診断'!$C$9)*12,0)</x:f>
        <x:v>1387114.7359884677</x:v>
      </x:c>
      <x:c r="F175" s="242" t="n">
        <x:f>D175-E175</x:f>
        <x:v>-607426.5827943254</x:v>
      </x:c>
      <x:c r="G175" s="242" t="n">
        <x:f>G174+F175</x:f>
        <x:v>-14567155.09331144</x:v>
      </x:c>
      <x:c r="H175" s="242" t="n">
        <x:f>H174+MAX(0,-F175)</x:f>
        <x:v>14567155.09331144</x:v>
      </x:c>
      <x:c r="I175" s="242" t="n">
        <x:f>IF(A175&gt;='診断'!$C$11,0,MAX(0,-FV('診断'!$D$32/12,A175*12,PMT('診断'!$D$32/12,'診断'!$C$11*12,'診断'!$C$9),'診断'!$C$9)))</x:f>
        <x:v>9116574.244123347</x:v>
      </x:c>
      <x:c r="J175" s="242" t="n">
        <x:f>'診断'!$C$7*(1+'診断'!$D$35)^A175</x:f>
        <x:v>26415175.05212714</x:v>
      </x:c>
      <x:c r="K175" s="242" t="n">
        <x:f>J175*(1-'診断'!$C$24)-'診断'!$C$25-I175</x:f>
        <x:v>16326900.031283598</x:v>
      </x:c>
      <x:c r="L175" s="242" t="n">
        <x:f>MAX(E175-MAX(I174-I175,0),0)</x:f>
        <x:v>175939.7427004201</x:v>
      </x:c>
      <x:c r="M175" s="242" t="n">
        <x:f>IF(OR($AI$20&lt;&gt;"OK",A175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174-1,0)))</x:f>
        <x:v>0</x:v>
      </x:c>
      <x:c r="N175" s="242" t="n">
        <x:f>IF(OR($AI$20&lt;&gt;"OK",A175&gt;'診断'!$C$16),0,MIN('診断'!$C$50*(1-'診断'!$C$53)*ROUNDUP(1/MAX(2,ROUNDDOWN(IF('診断'!$C$52&gt;=15,15*20%,(15-'診断'!$C$52)+'診断'!$C$52*20%),0)),3)*(12)/12,MAX(AA174-1,0)))</x:f>
        <x:v>0</x:v>
      </x:c>
      <x:c r="O175" s="242" t="n">
        <x:f>M175+N175</x:f>
        <x:v>0</x:v>
      </x:c>
      <x:c r="P175" s="134" t="n">
        <x:f>B175-C175-L175-O175</x:f>
        <x:v>603748.4104937222</x:v>
      </x:c>
      <x:c r="Q175" s="134" t="n">
        <x:f>L175*IF('診断'!$C$9&gt;0,$AI$17/'診断'!$C$9,0)</x:f>
        <x:v>171052.5276254084</x:v>
      </x:c>
      <x:c r="R175" s="134" t="n">
        <x:f>IF(P175&gt;=0,P175,MIN(0,P175+Q175))</x:f>
        <x:v>603748.4104937222</x:v>
      </x:c>
      <x:c r="S175" s="134" t="n">
        <x:f>ROUNDDOWN(MAX(($AI$8+R175)-IF(($AI$8+R175)&lt;=4890000,1040000,IF(($AI$8+R175)&lt;=6550000,670000,IF(($AI$8+R175)&lt;=23500000,620000,IF(($AI$8+R175)&lt;=24000000,480000,IF(($AI$8+R175)&lt;=24500000,320000,IF(($AI$8+R175)&lt;=25000000,160000,0))))))-$AI$10,0),-3)</x:f>
        <x:v>6533000</x:v>
      </x:c>
      <x:c r="T175" s="134" t="n">
        <x:f>ROUNDDOWN(MAX(IF(S175&lt;=1949000,S175*5%,IF(S175&lt;=3299000,S175*10%-97500,IF(S175&lt;=6949000,S175*20%-427500,IF(S175&lt;=8999000,S175*23%-636000,IF(S175&lt;=17999000,S175*33%-1536000,IF(S175&lt;=39999000,S175*40%-2796000,S175*45%-4796000)))))),0),-2)+ROUNDDOWN(ROUNDDOWN(MAX(IF(S175&lt;=1949000,S175*5%,IF(S175&lt;=3299000,S175*10%-97500,IF(S175&lt;=6949000,S175*20%-427500,IF(S175&lt;=8999000,S175*23%-636000,IF(S175&lt;=17999000,S175*33%-1536000,IF(S175&lt;=39999000,S175*40%-2796000,S175*45%-4796000)))))),0),-2)*2.1%,0)</x:f>
        <x:v>897561</x:v>
      </x:c>
      <x:c r="U175" s="134" t="n">
        <x:f>ROUNDDOWN(MAX(($AI$8+R175)-IF(($AI$8+R175)&lt;=24000000,430000,IF(($AI$8+R175)&lt;=24500000,290000,IF(($AI$8+R175)&lt;=25000000,150000,0)))-$AI$10,0),-3)</x:f>
        <x:v>6723000</x:v>
      </x:c>
      <x:c r="V175" s="134" t="n">
        <x:f>ROUNDDOWN(U175*10%,0)+5000</x:f>
        <x:v>677300</x:v>
      </x:c>
      <x:c r="W175" s="134" t="n">
        <x:f>IF($AI$20="OK",$AI$16-(T175+V175),0)</x:f>
        <x:v>0</x:v>
      </x:c>
      <x:c r="X175" s="134" t="n">
        <x:f>F175+W175</x:f>
        <x:v>-607426.5827943254</x:v>
      </x:c>
      <x:c r="Y175" s="134" t="n">
        <x:f>Y174+X175</x:f>
        <x:v>-14567155.09331144</x:v>
      </x:c>
      <x:c r="Z175" s="134" t="n">
        <x:f>MAX(Z174-M175,0)</x:f>
        <x:v>0</x:v>
      </x:c>
      <x:c r="AA175" s="134" t="n">
        <x:f>MAX(AA174-N175,0)</x:f>
        <x:v>0</x:v>
      </x:c>
      <x:c r="AB175" s="134" t="n">
        <x:f>MAX('診断'!$C$7-'診断'!$C$50,0)+Z175+AA175+'診断'!$C$57</x:f>
        <x:v>35000000</x:v>
      </x:c>
      <x:c r="AC175" s="134" t="n">
        <x:f>MAX(J175-AB175-(J175*'診断'!$C$24+'診断'!$C$25)-'診断'!$C$58,0)</x:f>
        <x:v>0</x:v>
      </x:c>
      <x:c r="AD175" s="134" t="n">
        <x:f>IF($AI$20&lt;&gt;"OK",0,AC175*IF(AG175="長期",15%+5%+15%*2.1%,30%+9%+30%*2.1%))</x:f>
        <x:v>0</x:v>
      </x:c>
      <x:c r="AE175" s="134" t="n">
        <x:f>J175-(J175*'診断'!$C$24+'診断'!$C$25)-I175-AD175</x:f>
        <x:v>16326900.031283598</x:v>
      </x:c>
      <x:c r="AF175" s="134" t="n">
        <x:f>Y175+AE175-MAX(0,'診断'!$C$7+'診断'!$C$8-'診断'!$C$9)</x:f>
        <x:v>1259744.9379721582</x:v>
      </x:c>
      <x:c r="AG175" s="406" t="str">
        <x:f>IF('診断'!$C$49&lt;DATE(YEAR('診断'!$C$49)+A175-1-5,1,1),"長期","短期")</x:f>
        <x:v>長期</x:v>
      </x:c>
    </x:row>
    <x:row r="176" ht="20" customHeight="1">
      <x:c r="A176" s="197" t="n">
        <x:v>29</x:v>
      </x:c>
      <x:c r="B176" s="242" t="n">
        <x:f>'診断'!$C$12*12*'診断'!$D$30*'診断'!$D$31*(1-'診断'!$C$19)^(A176-1)</x:f>
        <x:v>1287936.5393980753</x:v>
      </x:c>
      <x:c r="C176" s="242" t="n">
        <x:f>(('診断'!$C$13+'診断'!$C$14)*12+'診断'!$C$21+'診断'!$C$22+B176*'診断'!$C$15)*'診断'!$D$33+'診断'!$C$23*'診断'!$D$34</x:f>
        <x:v>514396.8269699038</x:v>
      </x:c>
      <x:c r="D176" s="242" t="n">
        <x:f>B176-C176</x:f>
        <x:v>773539.7124281715</x:v>
      </x:c>
      <x:c r="E176" s="242" t="n">
        <x:f>IF(A176&lt;='診断'!$C$11,-PMT('診断'!$D$32/12,'診断'!$C$11*12,'診断'!$C$9)*12,0)</x:f>
        <x:v>1387114.7359884677</x:v>
      </x:c>
      <x:c r="F176" s="242" t="n">
        <x:f>D176-E176</x:f>
        <x:v>-613575.0235602962</x:v>
      </x:c>
      <x:c r="G176" s="242" t="n">
        <x:f>G175+F176</x:f>
        <x:v>-15180730.116871737</x:v>
      </x:c>
      <x:c r="H176" s="242" t="n">
        <x:f>H175+MAX(0,-F176)</x:f>
        <x:v>15180730.116871737</x:v>
      </x:c>
      <x:c r="I176" s="242" t="n">
        <x:f>IF(A176&gt;='診断'!$C$11,0,MAX(0,-FV('診断'!$D$32/12,A176*12,PMT('診断'!$D$32/12,'診断'!$C$11*12,'診断'!$C$9),'診断'!$C$9)))</x:f>
        <x:v>7883417.3391297385</x:v>
      </x:c>
      <x:c r="J176" s="242" t="n">
        <x:f>'診断'!$C$7*(1+'診断'!$D$35)^A176</x:f>
        <x:v>26151023.301605865</x:v>
      </x:c>
      <x:c r="K176" s="242" t="n">
        <x:f>J176*(1-'診断'!$C$24)-'診断'!$C$25-I176</x:f>
        <x:v>17304622.19352313</x:v>
      </x:c>
      <x:c r="L176" s="242" t="n">
        <x:f>MAX(E176-MAX(I175-I176,0),0)</x:f>
        <x:v>153957.8309948591</x:v>
      </x:c>
      <x:c r="M176" s="242" t="n">
        <x:f>IF(OR($AI$20&lt;&gt;"OK",A176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175-1,0)))</x:f>
        <x:v>0</x:v>
      </x:c>
      <x:c r="N176" s="242" t="n">
        <x:f>IF(OR($AI$20&lt;&gt;"OK",A176&gt;'診断'!$C$16),0,MIN('診断'!$C$50*(1-'診断'!$C$53)*ROUNDUP(1/MAX(2,ROUNDDOWN(IF('診断'!$C$52&gt;=15,15*20%,(15-'診断'!$C$52)+'診断'!$C$52*20%),0)),3)*(12)/12,MAX(AA175-1,0)))</x:f>
        <x:v>0</x:v>
      </x:c>
      <x:c r="O176" s="242" t="n">
        <x:f>M176+N176</x:f>
        <x:v>0</x:v>
      </x:c>
      <x:c r="P176" s="134" t="n">
        <x:f>B176-C176-L176-O176</x:f>
        <x:v>619581.8814333124</x:v>
      </x:c>
      <x:c r="Q176" s="134" t="n">
        <x:f>L176*IF('診断'!$C$9&gt;0,$AI$17/'診断'!$C$9,0)</x:f>
        <x:v>149681.22457833524</x:v>
      </x:c>
      <x:c r="R176" s="134" t="n">
        <x:f>IF(P176&gt;=0,P176,MIN(0,P176+Q176))</x:f>
        <x:v>619581.8814333124</x:v>
      </x:c>
      <x:c r="S176" s="134" t="n">
        <x:f>ROUNDDOWN(MAX(($AI$8+R176)-IF(($AI$8+R176)&lt;=4890000,1040000,IF(($AI$8+R176)&lt;=6550000,670000,IF(($AI$8+R176)&lt;=23500000,620000,IF(($AI$8+R176)&lt;=24000000,480000,IF(($AI$8+R176)&lt;=24500000,320000,IF(($AI$8+R176)&lt;=25000000,160000,0))))))-$AI$10,0),-3)</x:f>
        <x:v>6549000</x:v>
      </x:c>
      <x:c r="T176" s="134" t="n">
        <x:f>ROUNDDOWN(MAX(IF(S176&lt;=1949000,S176*5%,IF(S176&lt;=3299000,S176*10%-97500,IF(S176&lt;=6949000,S176*20%-427500,IF(S176&lt;=8999000,S176*23%-636000,IF(S176&lt;=17999000,S176*33%-1536000,IF(S176&lt;=39999000,S176*40%-2796000,S176*45%-4796000)))))),0),-2)+ROUNDDOWN(ROUNDDOWN(MAX(IF(S176&lt;=1949000,S176*5%,IF(S176&lt;=3299000,S176*10%-97500,IF(S176&lt;=6949000,S176*20%-427500,IF(S176&lt;=8999000,S176*23%-636000,IF(S176&lt;=17999000,S176*33%-1536000,IF(S176&lt;=39999000,S176*40%-2796000,S176*45%-4796000)))))),0),-2)*2.1%,0)</x:f>
        <x:v>900828</x:v>
      </x:c>
      <x:c r="U176" s="134" t="n">
        <x:f>ROUNDDOWN(MAX(($AI$8+R176)-IF(($AI$8+R176)&lt;=24000000,430000,IF(($AI$8+R176)&lt;=24500000,290000,IF(($AI$8+R176)&lt;=25000000,150000,0)))-$AI$10,0),-3)</x:f>
        <x:v>6739000</x:v>
      </x:c>
      <x:c r="V176" s="134" t="n">
        <x:f>ROUNDDOWN(U176*10%,0)+5000</x:f>
        <x:v>678900</x:v>
      </x:c>
      <x:c r="W176" s="134" t="n">
        <x:f>IF($AI$20="OK",$AI$16-(T176+V176),0)</x:f>
        <x:v>0</x:v>
      </x:c>
      <x:c r="X176" s="134" t="n">
        <x:f>F176+W176</x:f>
        <x:v>-613575.0235602962</x:v>
      </x:c>
      <x:c r="Y176" s="134" t="n">
        <x:f>Y175+X176</x:f>
        <x:v>-15180730.116871737</x:v>
      </x:c>
      <x:c r="Z176" s="134" t="n">
        <x:f>MAX(Z175-M176,0)</x:f>
        <x:v>0</x:v>
      </x:c>
      <x:c r="AA176" s="134" t="n">
        <x:f>MAX(AA175-N176,0)</x:f>
        <x:v>0</x:v>
      </x:c>
      <x:c r="AB176" s="134" t="n">
        <x:f>MAX('診断'!$C$7-'診断'!$C$50,0)+Z176+AA176+'診断'!$C$57</x:f>
        <x:v>35000000</x:v>
      </x:c>
      <x:c r="AC176" s="134" t="n">
        <x:f>MAX(J176-AB176-(J176*'診断'!$C$24+'診断'!$C$25)-'診断'!$C$58,0)</x:f>
        <x:v>0</x:v>
      </x:c>
      <x:c r="AD176" s="134" t="n">
        <x:f>IF($AI$20&lt;&gt;"OK",0,AC176*IF(AG176="長期",15%+5%+15%*2.1%,30%+9%+30%*2.1%))</x:f>
        <x:v>0</x:v>
      </x:c>
      <x:c r="AE176" s="134" t="n">
        <x:f>J176-(J176*'診断'!$C$24+'診断'!$C$25)-I176-AD176</x:f>
        <x:v>17304622.193523135</x:v>
      </x:c>
      <x:c r="AF176" s="134" t="n">
        <x:f>Y176+AE176-MAX(0,'診断'!$C$7+'診断'!$C$8-'診断'!$C$9)</x:f>
        <x:v>1623892.076651398</x:v>
      </x:c>
      <x:c r="AG176" s="406" t="str">
        <x:f>IF('診断'!$C$49&lt;DATE(YEAR('診断'!$C$49)+A176-1-5,1,1),"長期","短期")</x:f>
        <x:v>長期</x:v>
      </x:c>
    </x:row>
    <x:row r="177" ht="20" customHeight="1">
      <x:c r="A177" s="197" t="n">
        <x:v>30</x:v>
      </x:c>
      <x:c r="B177" s="242" t="n">
        <x:f>'診断'!$C$12*12*'診断'!$D$30*'診断'!$D$31*(1-'診断'!$C$19)^(A177-1)</x:f>
        <x:v>1281496.8567010849</x:v>
      </x:c>
      <x:c r="C177" s="242" t="n">
        <x:f>(('診断'!$C$13+'診断'!$C$14)*12+'診断'!$C$21+'診断'!$C$22+B177*'診断'!$C$15)*'診断'!$D$33+'診断'!$C$23*'診断'!$D$34</x:f>
        <x:v>514074.84283505427</x:v>
      </x:c>
      <x:c r="D177" s="242" t="n">
        <x:f>B177-C177</x:f>
        <x:v>767422.0138660306</x:v>
      </x:c>
      <x:c r="E177" s="242" t="n">
        <x:f>IF(A177&lt;='診断'!$C$11,-PMT('診断'!$D$32/12,'診断'!$C$11*12,'診断'!$C$9)*12,0)</x:f>
        <x:v>1387114.7359884677</x:v>
      </x:c>
      <x:c r="F177" s="242" t="n">
        <x:f>D177-E177</x:f>
        <x:v>-619692.7221224371</x:v>
      </x:c>
      <x:c r="G177" s="242" t="n">
        <x:f>G176+F177</x:f>
        <x:v>-15800422.838994173</x:v>
      </x:c>
      <x:c r="H177" s="242" t="n">
        <x:f>H176+MAX(0,-F177)</x:f>
        <x:v>15800422.838994173</x:v>
      </x:c>
      <x:c r="I177" s="242" t="n">
        <x:f>IF(A177&gt;='診断'!$C$11,0,MAX(0,-FV('診断'!$D$32/12,A177*12,PMT('診断'!$D$32/12,'診断'!$C$11*12,'診断'!$C$9),'診断'!$C$9)))</x:f>
        <x:v>6627879.5673292205</x:v>
      </x:c>
      <x:c r="J177" s="242" t="n">
        <x:f>'診断'!$C$7*(1+'診断'!$D$35)^A177</x:f>
        <x:v>25889513.068589807</x:v>
      </x:c>
      <x:c r="K177" s="242" t="n">
        <x:f>J177*(1-'診断'!$C$24)-'診断'!$C$25-I177</x:f>
        <x:v>18307279.56999712</x:v>
      </x:c>
      <x:c r="L177" s="242" t="n">
        <x:f>MAX(E177-MAX(I176-I177,0),0)</x:f>
        <x:v>131576.96418794966</x:v>
      </x:c>
      <x:c r="M177" s="242" t="n">
        <x:f>IF(OR($AI$20&lt;&gt;"OK",A177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176-1,0)))</x:f>
        <x:v>0</x:v>
      </x:c>
      <x:c r="N177" s="242" t="n">
        <x:f>IF(OR($AI$20&lt;&gt;"OK",A177&gt;'診断'!$C$16),0,MIN('診断'!$C$50*(1-'診断'!$C$53)*ROUNDUP(1/MAX(2,ROUNDDOWN(IF('診断'!$C$52&gt;=15,15*20%,(15-'診断'!$C$52)+'診断'!$C$52*20%),0)),3)*(12)/12,MAX(AA176-1,0)))</x:f>
        <x:v>0</x:v>
      </x:c>
      <x:c r="O177" s="242" t="n">
        <x:f>M177+N177</x:f>
        <x:v>0</x:v>
      </x:c>
      <x:c r="P177" s="134" t="n">
        <x:f>B177-C177-L177-O177</x:f>
        <x:v>635845.049678081</x:v>
      </x:c>
      <x:c r="Q177" s="134" t="n">
        <x:f>L177*IF('診断'!$C$9&gt;0,$AI$17/'診断'!$C$9,0)</x:f>
        <x:v>127922.04851606218</x:v>
      </x:c>
      <x:c r="R177" s="134" t="n">
        <x:f>IF(P177&gt;=0,P177,MIN(0,P177+Q177))</x:f>
        <x:v>635845.049678081</x:v>
      </x:c>
      <x:c r="S177" s="134" t="n">
        <x:f>ROUNDDOWN(MAX(($AI$8+R177)-IF(($AI$8+R177)&lt;=4890000,1040000,IF(($AI$8+R177)&lt;=6550000,670000,IF(($AI$8+R177)&lt;=23500000,620000,IF(($AI$8+R177)&lt;=24000000,480000,IF(($AI$8+R177)&lt;=24500000,320000,IF(($AI$8+R177)&lt;=25000000,160000,0))))))-$AI$10,0),-3)</x:f>
        <x:v>6565000</x:v>
      </x:c>
      <x:c r="T177" s="134" t="n">
        <x:f>ROUNDDOWN(MAX(IF(S177&lt;=1949000,S177*5%,IF(S177&lt;=3299000,S177*10%-97500,IF(S177&lt;=6949000,S177*20%-427500,IF(S177&lt;=8999000,S177*23%-636000,IF(S177&lt;=17999000,S177*33%-1536000,IF(S177&lt;=39999000,S177*40%-2796000,S177*45%-4796000)))))),0),-2)+ROUNDDOWN(ROUNDDOWN(MAX(IF(S177&lt;=1949000,S177*5%,IF(S177&lt;=3299000,S177*10%-97500,IF(S177&lt;=6949000,S177*20%-427500,IF(S177&lt;=8999000,S177*23%-636000,IF(S177&lt;=17999000,S177*33%-1536000,IF(S177&lt;=39999000,S177*40%-2796000,S177*45%-4796000)))))),0),-2)*2.1%,0)</x:f>
        <x:v>904095</x:v>
      </x:c>
      <x:c r="U177" s="134" t="n">
        <x:f>ROUNDDOWN(MAX(($AI$8+R177)-IF(($AI$8+R177)&lt;=24000000,430000,IF(($AI$8+R177)&lt;=24500000,290000,IF(($AI$8+R177)&lt;=25000000,150000,0)))-$AI$10,0),-3)</x:f>
        <x:v>6755000</x:v>
      </x:c>
      <x:c r="V177" s="134" t="n">
        <x:f>ROUNDDOWN(U177*10%,0)+5000</x:f>
        <x:v>680500</x:v>
      </x:c>
      <x:c r="W177" s="134" t="n">
        <x:f>IF($AI$20="OK",$AI$16-(T177+V177),0)</x:f>
        <x:v>0</x:v>
      </x:c>
      <x:c r="X177" s="134" t="n">
        <x:f>F177+W177</x:f>
        <x:v>-619692.7221224371</x:v>
      </x:c>
      <x:c r="Y177" s="134" t="n">
        <x:f>Y176+X177</x:f>
        <x:v>-15800422.838994173</x:v>
      </x:c>
      <x:c r="Z177" s="134" t="n">
        <x:f>MAX(Z176-M177,0)</x:f>
        <x:v>0</x:v>
      </x:c>
      <x:c r="AA177" s="134" t="n">
        <x:f>MAX(AA176-N177,0)</x:f>
        <x:v>0</x:v>
      </x:c>
      <x:c r="AB177" s="134" t="n">
        <x:f>MAX('診断'!$C$7-'診断'!$C$50,0)+Z177+AA177+'診断'!$C$57</x:f>
        <x:v>35000000</x:v>
      </x:c>
      <x:c r="AC177" s="134" t="n">
        <x:f>MAX(J177-AB177-(J177*'診断'!$C$24+'診断'!$C$25)-'診断'!$C$58,0)</x:f>
        <x:v>0</x:v>
      </x:c>
      <x:c r="AD177" s="134" t="n">
        <x:f>IF($AI$20&lt;&gt;"OK",0,AC177*IF(AG177="長期",15%+5%+15%*2.1%,30%+9%+30%*2.1%))</x:f>
        <x:v>0</x:v>
      </x:c>
      <x:c r="AE177" s="134" t="n">
        <x:f>J177-(J177*'診断'!$C$24+'診断'!$C$25)-I177-AD177</x:f>
        <x:v>18307279.56999712</x:v>
      </x:c>
      <x:c r="AF177" s="134" t="n">
        <x:f>Y177+AE177-MAX(0,'診断'!$C$7+'診断'!$C$8-'診断'!$C$9)</x:f>
        <x:v>2006856.7310029473</x:v>
      </x:c>
      <x:c r="AG177" s="406" t="str">
        <x:f>IF('診断'!$C$49&lt;DATE(YEAR('診断'!$C$49)+A177-1-5,1,1),"長期","短期")</x:f>
        <x:v>長期</x:v>
      </x:c>
    </x:row>
    <x:row r="178" ht="20" customHeight="1">
      <x:c r="A178" s="197" t="n">
        <x:v>31</x:v>
      </x:c>
      <x:c r="B178" s="242" t="n">
        <x:f>'診断'!$C$12*12*'診断'!$D$30*'診断'!$D$31*(1-'診断'!$C$19)^(A178-1)</x:f>
        <x:v>1275089.3724175796</x:v>
      </x:c>
      <x:c r="C178" s="242" t="n">
        <x:f>(('診断'!$C$13+'診断'!$C$14)*12+'診断'!$C$21+'診断'!$C$22+B178*'診断'!$C$15)*'診断'!$D$33+'診断'!$C$23*'診断'!$D$34</x:f>
        <x:v>513754.468620879</x:v>
      </x:c>
      <x:c r="D178" s="242" t="n">
        <x:f>B178-C178</x:f>
        <x:v>761334.9037967006</x:v>
      </x:c>
      <x:c r="E178" s="242" t="n">
        <x:f>IF(A178&lt;='診断'!$C$11,-PMT('診断'!$D$32/12,'診断'!$C$11*12,'診断'!$C$9)*12,0)</x:f>
        <x:v>1387114.7359884677</x:v>
      </x:c>
      <x:c r="F178" s="242" t="n">
        <x:f>D178-E178</x:f>
        <x:v>-625779.832191767</x:v>
      </x:c>
      <x:c r="G178" s="242" t="n">
        <x:f>G177+F178</x:f>
        <x:v>-16426202.67118594</x:v>
      </x:c>
      <x:c r="H178" s="242" t="n">
        <x:f>H177+MAX(0,-F178)</x:f>
        <x:v>16426202.67118594</x:v>
      </x:c>
      <x:c r="I178" s="242" t="n">
        <x:f>IF(A178&gt;='診断'!$C$11,0,MAX(0,-FV('診断'!$D$32/12,A178*12,PMT('診断'!$D$32/12,'診断'!$C$11*12,'診断'!$C$9),'診断'!$C$9)))</x:f>
        <x:v>5349554.732886516</x:v>
      </x:c>
      <x:c r="J178" s="242" t="n">
        <x:f>'診断'!$C$7*(1+'診断'!$D$35)^A178</x:f>
        <x:v>25630617.93790391</x:v>
      </x:c>
      <x:c r="K178" s="242" t="n">
        <x:f>J178*(1-'診断'!$C$24)-'診断'!$C$25-I178</x:f>
        <x:v>19335252.813066565</x:v>
      </x:c>
      <x:c r="L178" s="242" t="n">
        <x:f>MAX(E178-MAX(I177-I178,0),0)</x:f>
        <x:v>108789.90154576278</x:v>
      </x:c>
      <x:c r="M178" s="242" t="n">
        <x:f>IF(OR($AI$20&lt;&gt;"OK",A178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177-1,0)))</x:f>
        <x:v>0</x:v>
      </x:c>
      <x:c r="N178" s="242" t="n">
        <x:f>IF(OR($AI$20&lt;&gt;"OK",A178&gt;'診断'!$C$16),0,MIN('診断'!$C$50*(1-'診断'!$C$53)*ROUNDUP(1/MAX(2,ROUNDDOWN(IF('診断'!$C$52&gt;=15,15*20%,(15-'診断'!$C$52)+'診断'!$C$52*20%),0)),3)*(12)/12,MAX(AA177-1,0)))</x:f>
        <x:v>0</x:v>
      </x:c>
      <x:c r="O178" s="242" t="n">
        <x:f>M178+N178</x:f>
        <x:v>0</x:v>
      </x:c>
      <x:c r="P178" s="134" t="n">
        <x:f>B178-C178-L178-O178</x:f>
        <x:v>652545.0022509379</x:v>
      </x:c>
      <x:c r="Q178" s="134" t="n">
        <x:f>L178*IF('診断'!$C$9&gt;0,$AI$17/'診断'!$C$9,0)</x:f>
        <x:v>105767.95983615826</x:v>
      </x:c>
      <x:c r="R178" s="134" t="n">
        <x:f>IF(P178&gt;=0,P178,MIN(0,P178+Q178))</x:f>
        <x:v>652545.0022509379</x:v>
      </x:c>
      <x:c r="S178" s="134" t="n">
        <x:f>ROUNDDOWN(MAX(($AI$8+R178)-IF(($AI$8+R178)&lt;=4890000,1040000,IF(($AI$8+R178)&lt;=6550000,670000,IF(($AI$8+R178)&lt;=23500000,620000,IF(($AI$8+R178)&lt;=24000000,480000,IF(($AI$8+R178)&lt;=24500000,320000,IF(($AI$8+R178)&lt;=25000000,160000,0))))))-$AI$10,0),-3)</x:f>
        <x:v>6582000</x:v>
      </x:c>
      <x:c r="T178" s="134" t="n">
        <x:f>ROUNDDOWN(MAX(IF(S178&lt;=1949000,S178*5%,IF(S178&lt;=3299000,S178*10%-97500,IF(S178&lt;=6949000,S178*20%-427500,IF(S178&lt;=8999000,S178*23%-636000,IF(S178&lt;=17999000,S178*33%-1536000,IF(S178&lt;=39999000,S178*40%-2796000,S178*45%-4796000)))))),0),-2)+ROUNDDOWN(ROUNDDOWN(MAX(IF(S178&lt;=1949000,S178*5%,IF(S178&lt;=3299000,S178*10%-97500,IF(S178&lt;=6949000,S178*20%-427500,IF(S178&lt;=8999000,S178*23%-636000,IF(S178&lt;=17999000,S178*33%-1536000,IF(S178&lt;=39999000,S178*40%-2796000,S178*45%-4796000)))))),0),-2)*2.1%,0)</x:f>
        <x:v>907566</x:v>
      </x:c>
      <x:c r="U178" s="134" t="n">
        <x:f>ROUNDDOWN(MAX(($AI$8+R178)-IF(($AI$8+R178)&lt;=24000000,430000,IF(($AI$8+R178)&lt;=24500000,290000,IF(($AI$8+R178)&lt;=25000000,150000,0)))-$AI$10,0),-3)</x:f>
        <x:v>6772000</x:v>
      </x:c>
      <x:c r="V178" s="134" t="n">
        <x:f>ROUNDDOWN(U178*10%,0)+5000</x:f>
        <x:v>682200</x:v>
      </x:c>
      <x:c r="W178" s="134" t="n">
        <x:f>IF($AI$20="OK",$AI$16-(T178+V178),0)</x:f>
        <x:v>0</x:v>
      </x:c>
      <x:c r="X178" s="134" t="n">
        <x:f>F178+W178</x:f>
        <x:v>-625779.832191767</x:v>
      </x:c>
      <x:c r="Y178" s="134" t="n">
        <x:f>Y177+X178</x:f>
        <x:v>-16426202.67118594</x:v>
      </x:c>
      <x:c r="Z178" s="134" t="n">
        <x:f>MAX(Z177-M178,0)</x:f>
        <x:v>0</x:v>
      </x:c>
      <x:c r="AA178" s="134" t="n">
        <x:f>MAX(AA177-N178,0)</x:f>
        <x:v>0</x:v>
      </x:c>
      <x:c r="AB178" s="134" t="n">
        <x:f>MAX('診断'!$C$7-'診断'!$C$50,0)+Z178+AA178+'診断'!$C$57</x:f>
        <x:v>35000000</x:v>
      </x:c>
      <x:c r="AC178" s="134" t="n">
        <x:f>MAX(J178-AB178-(J178*'診断'!$C$24+'診断'!$C$25)-'診断'!$C$58,0)</x:f>
        <x:v>0</x:v>
      </x:c>
      <x:c r="AD178" s="134" t="n">
        <x:f>IF($AI$20&lt;&gt;"OK",0,AC178*IF(AG178="長期",15%+5%+15%*2.1%,30%+9%+30%*2.1%))</x:f>
        <x:v>0</x:v>
      </x:c>
      <x:c r="AE178" s="134" t="n">
        <x:f>J178-(J178*'診断'!$C$24+'診断'!$C$25)-I178-AD178</x:f>
        <x:v>19335252.813066565</x:v>
      </x:c>
      <x:c r="AF178" s="134" t="n">
        <x:f>Y178+AE178-MAX(0,'診断'!$C$7+'診断'!$C$8-'診断'!$C$9)</x:f>
        <x:v>2409050.141880624</x:v>
      </x:c>
      <x:c r="AG178" s="406" t="str">
        <x:f>IF('診断'!$C$49&lt;DATE(YEAR('診断'!$C$49)+A178-1-5,1,1),"長期","短期")</x:f>
        <x:v>長期</x:v>
      </x:c>
    </x:row>
    <x:row r="179" ht="20" customHeight="1">
      <x:c r="A179" s="197" t="n">
        <x:v>32</x:v>
      </x:c>
      <x:c r="B179" s="242" t="n">
        <x:f>'診断'!$C$12*12*'診断'!$D$30*'診断'!$D$31*(1-'診断'!$C$19)^(A179-1)</x:f>
        <x:v>1268713.9255554916</x:v>
      </x:c>
      <x:c r="C179" s="242" t="n">
        <x:f>(('診断'!$C$13+'診断'!$C$14)*12+'診断'!$C$21+'診断'!$C$22+B179*'診断'!$C$15)*'診断'!$D$33+'診断'!$C$23*'診断'!$D$34</x:f>
        <x:v>513435.6962777746</x:v>
      </x:c>
      <x:c r="D179" s="242" t="n">
        <x:f>B179-C179</x:f>
        <x:v>755278.229277717</x:v>
      </x:c>
      <x:c r="E179" s="242" t="n">
        <x:f>IF(A179&lt;='診断'!$C$11,-PMT('診断'!$D$32/12,'診断'!$C$11*12,'診断'!$C$9)*12,0)</x:f>
        <x:v>1387114.7359884677</x:v>
      </x:c>
      <x:c r="F179" s="242" t="n">
        <x:f>D179-E179</x:f>
        <x:v>-631836.5067107507</x:v>
      </x:c>
      <x:c r="G179" s="242" t="n">
        <x:f>G178+F179</x:f>
        <x:v>-17058039.17789669</x:v>
      </x:c>
      <x:c r="H179" s="242" t="n">
        <x:f>H178+MAX(0,-F179)</x:f>
        <x:v>17058039.17789669</x:v>
      </x:c>
      <x:c r="I179" s="242" t="n">
        <x:f>IF(A179&gt;='診断'!$C$11,0,MAX(0,-FV('診断'!$D$32/12,A179*12,PMT('診断'!$D$32/12,'診断'!$C$11*12,'診断'!$C$9),'診断'!$C$9)))</x:f>
        <x:v>4048029.267818637</x:v>
      </x:c>
      <x:c r="J179" s="242" t="n">
        <x:f>'診断'!$C$7*(1+'診断'!$D$35)^A179</x:f>
        <x:v>25374311.75852487</x:v>
      </x:c>
      <x:c r="K179" s="242" t="n">
        <x:f>J179*(1-'診断'!$C$24)-'診断'!$C$25-I179</x:f>
        <x:v>20388930.20267491</x:v>
      </x:c>
      <x:c r="L179" s="242" t="n">
        <x:f>MAX(E179-MAX(I178-I179,0),0)</x:f>
        <x:v>85589.27092058933</x:v>
      </x:c>
      <x:c r="M179" s="242" t="n">
        <x:f>IF(OR($AI$20&lt;&gt;"OK",A179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178-1,0)))</x:f>
        <x:v>0</x:v>
      </x:c>
      <x:c r="N179" s="242" t="n">
        <x:f>IF(OR($AI$20&lt;&gt;"OK",A179&gt;'診断'!$C$16),0,MIN('診断'!$C$50*(1-'診断'!$C$53)*ROUNDUP(1/MAX(2,ROUNDDOWN(IF('診断'!$C$52&gt;=15,15*20%,(15-'診断'!$C$52)+'診断'!$C$52*20%),0)),3)*(12)/12,MAX(AA178-1,0)))</x:f>
        <x:v>0</x:v>
      </x:c>
      <x:c r="O179" s="242" t="n">
        <x:f>M179+N179</x:f>
        <x:v>0</x:v>
      </x:c>
      <x:c r="P179" s="134" t="n">
        <x:f>B179-C179-L179-O179</x:f>
        <x:v>669688.9583571276</x:v>
      </x:c>
      <x:c r="Q179" s="134" t="n">
        <x:f>L179*IF('診断'!$C$9&gt;0,$AI$17/'診断'!$C$9,0)</x:f>
        <x:v>83211.79117279519</x:v>
      </x:c>
      <x:c r="R179" s="134" t="n">
        <x:f>IF(P179&gt;=0,P179,MIN(0,P179+Q179))</x:f>
        <x:v>669688.9583571276</x:v>
      </x:c>
      <x:c r="S179" s="134" t="n">
        <x:f>ROUNDDOWN(MAX(($AI$8+R179)-IF(($AI$8+R179)&lt;=4890000,1040000,IF(($AI$8+R179)&lt;=6550000,670000,IF(($AI$8+R179)&lt;=23500000,620000,IF(($AI$8+R179)&lt;=24000000,480000,IF(($AI$8+R179)&lt;=24500000,320000,IF(($AI$8+R179)&lt;=25000000,160000,0))))))-$AI$10,0),-3)</x:f>
        <x:v>6599000</x:v>
      </x:c>
      <x:c r="T179" s="134" t="n">
        <x:f>ROUNDDOWN(MAX(IF(S179&lt;=1949000,S179*5%,IF(S179&lt;=3299000,S179*10%-97500,IF(S179&lt;=6949000,S179*20%-427500,IF(S179&lt;=8999000,S179*23%-636000,IF(S179&lt;=17999000,S179*33%-1536000,IF(S179&lt;=39999000,S179*40%-2796000,S179*45%-4796000)))))),0),-2)+ROUNDDOWN(ROUNDDOWN(MAX(IF(S179&lt;=1949000,S179*5%,IF(S179&lt;=3299000,S179*10%-97500,IF(S179&lt;=6949000,S179*20%-427500,IF(S179&lt;=8999000,S179*23%-636000,IF(S179&lt;=17999000,S179*33%-1536000,IF(S179&lt;=39999000,S179*40%-2796000,S179*45%-4796000)))))),0),-2)*2.1%,0)</x:f>
        <x:v>911038</x:v>
      </x:c>
      <x:c r="U179" s="134" t="n">
        <x:f>ROUNDDOWN(MAX(($AI$8+R179)-IF(($AI$8+R179)&lt;=24000000,430000,IF(($AI$8+R179)&lt;=24500000,290000,IF(($AI$8+R179)&lt;=25000000,150000,0)))-$AI$10,0),-3)</x:f>
        <x:v>6789000</x:v>
      </x:c>
      <x:c r="V179" s="134" t="n">
        <x:f>ROUNDDOWN(U179*10%,0)+5000</x:f>
        <x:v>683900</x:v>
      </x:c>
      <x:c r="W179" s="134" t="n">
        <x:f>IF($AI$20="OK",$AI$16-(T179+V179),0)</x:f>
        <x:v>0</x:v>
      </x:c>
      <x:c r="X179" s="134" t="n">
        <x:f>F179+W179</x:f>
        <x:v>-631836.5067107507</x:v>
      </x:c>
      <x:c r="Y179" s="134" t="n">
        <x:f>Y178+X179</x:f>
        <x:v>-17058039.17789669</x:v>
      </x:c>
      <x:c r="Z179" s="134" t="n">
        <x:f>MAX(Z178-M179,0)</x:f>
        <x:v>0</x:v>
      </x:c>
      <x:c r="AA179" s="134" t="n">
        <x:f>MAX(AA178-N179,0)</x:f>
        <x:v>0</x:v>
      </x:c>
      <x:c r="AB179" s="134" t="n">
        <x:f>MAX('診断'!$C$7-'診断'!$C$50,0)+Z179+AA179+'診断'!$C$57</x:f>
        <x:v>35000000</x:v>
      </x:c>
      <x:c r="AC179" s="134" t="n">
        <x:f>MAX(J179-AB179-(J179*'診断'!$C$24+'診断'!$C$25)-'診断'!$C$58,0)</x:f>
        <x:v>0</x:v>
      </x:c>
      <x:c r="AD179" s="134" t="n">
        <x:f>IF($AI$20&lt;&gt;"OK",0,AC179*IF(AG179="長期",15%+5%+15%*2.1%,30%+9%+30%*2.1%))</x:f>
        <x:v>0</x:v>
      </x:c>
      <x:c r="AE179" s="134" t="n">
        <x:f>J179-(J179*'診断'!$C$24+'診断'!$C$25)-I179-AD179</x:f>
        <x:v>20388930.20267491</x:v>
      </x:c>
      <x:c r="AF179" s="134" t="n">
        <x:f>Y179+AE179-MAX(0,'診断'!$C$7+'診断'!$C$8-'診断'!$C$9)</x:f>
        <x:v>2830891.024778221</x:v>
      </x:c>
      <x:c r="AG179" s="406" t="str">
        <x:f>IF('診断'!$C$49&lt;DATE(YEAR('診断'!$C$49)+A179-1-5,1,1),"長期","短期")</x:f>
        <x:v>長期</x:v>
      </x:c>
    </x:row>
    <x:row r="180" ht="20" customHeight="1">
      <x:c r="A180" s="197" t="n">
        <x:v>33</x:v>
      </x:c>
      <x:c r="B180" s="242" t="n">
        <x:f>'診断'!$C$12*12*'診断'!$D$30*'診断'!$D$31*(1-'診断'!$C$19)^(A180-1)</x:f>
        <x:v>1262370.3559277141</x:v>
      </x:c>
      <x:c r="C180" s="242" t="n">
        <x:f>(('診断'!$C$13+'診断'!$C$14)*12+'診断'!$C$21+'診断'!$C$22+B180*'診断'!$C$15)*'診断'!$D$33+'診断'!$C$23*'診断'!$D$34</x:f>
        <x:v>513118.5177963857</x:v>
      </x:c>
      <x:c r="D180" s="242" t="n">
        <x:f>B180-C180</x:f>
        <x:v>749251.8381313285</x:v>
      </x:c>
      <x:c r="E180" s="242" t="n">
        <x:f>IF(A180&lt;='診断'!$C$11,-PMT('診断'!$D$32/12,'診断'!$C$11*12,'診断'!$C$9)*12,0)</x:f>
        <x:v>1387114.7359884677</x:v>
      </x:c>
      <x:c r="F180" s="242" t="n">
        <x:f>D180-E180</x:f>
        <x:v>-637862.8978571392</x:v>
      </x:c>
      <x:c r="G180" s="242" t="n">
        <x:f>G179+F180</x:f>
        <x:v>-17695902.07575383</x:v>
      </x:c>
      <x:c r="H180" s="242" t="n">
        <x:f>H179+MAX(0,-F180)</x:f>
        <x:v>17695902.07575383</x:v>
      </x:c>
      <x:c r="I180" s="242" t="n">
        <x:f>IF(A180&gt;='診断'!$C$11,0,MAX(0,-FV('診断'!$D$32/12,A180*12,PMT('診断'!$D$32/12,'診断'!$C$11*12,'診断'!$C$9),'診断'!$C$9)))</x:f>
        <x:v>2722882.098195918</x:v>
      </x:c>
      <x:c r="J180" s="242" t="n">
        <x:f>'診断'!$C$7*(1+'診断'!$D$35)^A180</x:f>
        <x:v>25120568.640939623</x:v>
      </x:c>
      <x:c r="K180" s="242" t="n">
        <x:f>J180*(1-'診断'!$C$24)-'診断'!$C$25-I180</x:f>
        <x:v>21468707.777592696</x:v>
      </x:c>
      <x:c r="L180" s="242" t="n">
        <x:f>MAX(E180-MAX(I179-I180,0),0)</x:f>
        <x:v>61967.56636574841</x:v>
      </x:c>
      <x:c r="M180" s="242" t="n">
        <x:f>IF(OR($AI$20&lt;&gt;"OK",A180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179-1,0)))</x:f>
        <x:v>0</x:v>
      </x:c>
      <x:c r="N180" s="242" t="n">
        <x:f>IF(OR($AI$20&lt;&gt;"OK",A180&gt;'診断'!$C$16),0,MIN('診断'!$C$50*(1-'診断'!$C$53)*ROUNDUP(1/MAX(2,ROUNDDOWN(IF('診断'!$C$52&gt;=15,15*20%,(15-'診断'!$C$52)+'診断'!$C$52*20%),0)),3)*(12)/12,MAX(AA179-1,0)))</x:f>
        <x:v>0</x:v>
      </x:c>
      <x:c r="O180" s="242" t="n">
        <x:f>M180+N180</x:f>
        <x:v>0</x:v>
      </x:c>
      <x:c r="P180" s="134" t="n">
        <x:f>B180-C180-L180-O180</x:f>
        <x:v>687284.27176558</x:v>
      </x:c>
      <x:c r="Q180" s="134" t="n">
        <x:f>L180*IF('診断'!$C$9&gt;0,$AI$17/'診断'!$C$9,0)</x:f>
        <x:v>60246.245077810956</x:v>
      </x:c>
      <x:c r="R180" s="134" t="n">
        <x:f>IF(P180&gt;=0,P180,MIN(0,P180+Q180))</x:f>
        <x:v>687284.27176558</x:v>
      </x:c>
      <x:c r="S180" s="134" t="n">
        <x:f>ROUNDDOWN(MAX(($AI$8+R180)-IF(($AI$8+R180)&lt;=4890000,1040000,IF(($AI$8+R180)&lt;=6550000,670000,IF(($AI$8+R180)&lt;=23500000,620000,IF(($AI$8+R180)&lt;=24000000,480000,IF(($AI$8+R180)&lt;=24500000,320000,IF(($AI$8+R180)&lt;=25000000,160000,0))))))-$AI$10,0),-3)</x:f>
        <x:v>6617000</x:v>
      </x:c>
      <x:c r="T180" s="134" t="n">
        <x:f>ROUNDDOWN(MAX(IF(S180&lt;=1949000,S180*5%,IF(S180&lt;=3299000,S180*10%-97500,IF(S180&lt;=6949000,S180*20%-427500,IF(S180&lt;=8999000,S180*23%-636000,IF(S180&lt;=17999000,S180*33%-1536000,IF(S180&lt;=39999000,S180*40%-2796000,S180*45%-4796000)))))),0),-2)+ROUNDDOWN(ROUNDDOWN(MAX(IF(S180&lt;=1949000,S180*5%,IF(S180&lt;=3299000,S180*10%-97500,IF(S180&lt;=6949000,S180*20%-427500,IF(S180&lt;=8999000,S180*23%-636000,IF(S180&lt;=17999000,S180*33%-1536000,IF(S180&lt;=39999000,S180*40%-2796000,S180*45%-4796000)))))),0),-2)*2.1%,0)</x:f>
        <x:v>914713</x:v>
      </x:c>
      <x:c r="U180" s="134" t="n">
        <x:f>ROUNDDOWN(MAX(($AI$8+R180)-IF(($AI$8+R180)&lt;=24000000,430000,IF(($AI$8+R180)&lt;=24500000,290000,IF(($AI$8+R180)&lt;=25000000,150000,0)))-$AI$10,0),-3)</x:f>
        <x:v>6807000</x:v>
      </x:c>
      <x:c r="V180" s="134" t="n">
        <x:f>ROUNDDOWN(U180*10%,0)+5000</x:f>
        <x:v>685700</x:v>
      </x:c>
      <x:c r="W180" s="134" t="n">
        <x:f>IF($AI$20="OK",$AI$16-(T180+V180),0)</x:f>
        <x:v>0</x:v>
      </x:c>
      <x:c r="X180" s="134" t="n">
        <x:f>F180+W180</x:f>
        <x:v>-637862.8978571392</x:v>
      </x:c>
      <x:c r="Y180" s="134" t="n">
        <x:f>Y179+X180</x:f>
        <x:v>-17695902.07575383</x:v>
      </x:c>
      <x:c r="Z180" s="134" t="n">
        <x:f>MAX(Z179-M180,0)</x:f>
        <x:v>0</x:v>
      </x:c>
      <x:c r="AA180" s="134" t="n">
        <x:f>MAX(AA179-N180,0)</x:f>
        <x:v>0</x:v>
      </x:c>
      <x:c r="AB180" s="134" t="n">
        <x:f>MAX('診断'!$C$7-'診断'!$C$50,0)+Z180+AA180+'診断'!$C$57</x:f>
        <x:v>35000000</x:v>
      </x:c>
      <x:c r="AC180" s="134" t="n">
        <x:f>MAX(J180-AB180-(J180*'診断'!$C$24+'診断'!$C$25)-'診断'!$C$58,0)</x:f>
        <x:v>0</x:v>
      </x:c>
      <x:c r="AD180" s="134" t="n">
        <x:f>IF($AI$20&lt;&gt;"OK",0,AC180*IF(AG180="長期",15%+5%+15%*2.1%,30%+9%+30%*2.1%))</x:f>
        <x:v>0</x:v>
      </x:c>
      <x:c r="AE180" s="134" t="n">
        <x:f>J180-(J180*'診断'!$C$24+'診断'!$C$25)-I180-AD180</x:f>
        <x:v>21468707.777592696</x:v>
      </x:c>
      <x:c r="AF180" s="134" t="n">
        <x:f>Y180+AE180-MAX(0,'診断'!$C$7+'診断'!$C$8-'診断'!$C$9)</x:f>
        <x:v>3272805.701838866</x:v>
      </x:c>
      <x:c r="AG180" s="406" t="str">
        <x:f>IF('診断'!$C$49&lt;DATE(YEAR('診断'!$C$49)+A180-1-5,1,1),"長期","短期")</x:f>
        <x:v>長期</x:v>
      </x:c>
    </x:row>
    <x:row r="181" ht="20" customHeight="1">
      <x:c r="A181" s="197" t="n">
        <x:v>34</x:v>
      </x:c>
      <x:c r="B181" s="242" t="n">
        <x:f>'診断'!$C$12*12*'診断'!$D$30*'診断'!$D$31*(1-'診断'!$C$19)^(A181-1)</x:f>
        <x:v>1256058.5041480756</x:v>
      </x:c>
      <x:c r="C181" s="242" t="n">
        <x:f>(('診断'!$C$13+'診断'!$C$14)*12+'診断'!$C$21+'診断'!$C$22+B181*'診断'!$C$15)*'診断'!$D$33+'診断'!$C$23*'診断'!$D$34</x:f>
        <x:v>512802.9252074038</x:v>
      </x:c>
      <x:c r="D181" s="242" t="n">
        <x:f>B181-C181</x:f>
        <x:v>743255.5789406719</x:v>
      </x:c>
      <x:c r="E181" s="242" t="n">
        <x:f>IF(A181&lt;='診断'!$C$11,-PMT('診断'!$D$32/12,'診断'!$C$11*12,'診断'!$C$9)*12,0)</x:f>
        <x:v>1387114.7359884677</x:v>
      </x:c>
      <x:c r="F181" s="242" t="n">
        <x:f>D181-E181</x:f>
        <x:v>-643859.1570477958</x:v>
      </x:c>
      <x:c r="G181" s="242" t="n">
        <x:f>G180+F181</x:f>
        <x:v>-18339761.232801627</x:v>
      </x:c>
      <x:c r="H181" s="242" t="n">
        <x:f>H180+MAX(0,-F181)</x:f>
        <x:v>18339761.232801627</x:v>
      </x:c>
      <x:c r="I181" s="242" t="n">
        <x:f>IF(A181&gt;='診断'!$C$11,0,MAX(0,-FV('診断'!$D$32/12,A181*12,PMT('診断'!$D$32/12,'診断'!$C$11*12,'診断'!$C$9),'診断'!$C$9)))</x:f>
        <x:v>1373684.5079148114</x:v>
      </x:c>
      <x:c r="J181" s="242" t="n">
        <x:f>'診断'!$C$7*(1+'診断'!$D$35)^A181</x:f>
        <x:v>24869362.954530224</x:v>
      </x:c>
      <x:c r="K181" s="242" t="n">
        <x:f>J181*(1-'診断'!$C$24)-'診断'!$C$25-I181</x:f>
        <x:v>22574989.469115913</x:v>
      </x:c>
      <x:c r="L181" s="242" t="n">
        <x:f>MAX(E181-MAX(I180-I181,0),0)</x:f>
        <x:v>37917.14570736117</x:v>
      </x:c>
      <x:c r="M181" s="242" t="n">
        <x:f>IF(OR($AI$20&lt;&gt;"OK",A181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180-1,0)))</x:f>
        <x:v>0</x:v>
      </x:c>
      <x:c r="N181" s="242" t="n">
        <x:f>IF(OR($AI$20&lt;&gt;"OK",A181&gt;'診断'!$C$16),0,MIN('診断'!$C$50*(1-'診断'!$C$53)*ROUNDUP(1/MAX(2,ROUNDDOWN(IF('診断'!$C$52&gt;=15,15*20%,(15-'診断'!$C$52)+'診断'!$C$52*20%),0)),3)*(12)/12,MAX(AA180-1,0)))</x:f>
        <x:v>0</x:v>
      </x:c>
      <x:c r="O181" s="242" t="n">
        <x:f>M181+N181</x:f>
        <x:v>0</x:v>
      </x:c>
      <x:c r="P181" s="134" t="n">
        <x:f>B181-C181-L181-O181</x:f>
        <x:v>705338.4332333107</x:v>
      </x:c>
      <x:c r="Q181" s="134" t="n">
        <x:f>L181*IF('診断'!$C$9&gt;0,$AI$17/'診断'!$C$9,0)</x:f>
        <x:v>36863.89165993447</x:v>
      </x:c>
      <x:c r="R181" s="134" t="n">
        <x:f>IF(P181&gt;=0,P181,MIN(0,P181+Q181))</x:f>
        <x:v>705338.4332333107</x:v>
      </x:c>
      <x:c r="S181" s="134" t="n">
        <x:f>ROUNDDOWN(MAX(($AI$8+R181)-IF(($AI$8+R181)&lt;=4890000,1040000,IF(($AI$8+R181)&lt;=6550000,670000,IF(($AI$8+R181)&lt;=23500000,620000,IF(($AI$8+R181)&lt;=24000000,480000,IF(($AI$8+R181)&lt;=24500000,320000,IF(($AI$8+R181)&lt;=25000000,160000,0))))))-$AI$10,0),-3)</x:f>
        <x:v>6635000</x:v>
      </x:c>
      <x:c r="T181" s="134" t="n">
        <x:f>ROUNDDOWN(MAX(IF(S181&lt;=1949000,S181*5%,IF(S181&lt;=3299000,S181*10%-97500,IF(S181&lt;=6949000,S181*20%-427500,IF(S181&lt;=8999000,S181*23%-636000,IF(S181&lt;=17999000,S181*33%-1536000,IF(S181&lt;=39999000,S181*40%-2796000,S181*45%-4796000)))))),0),-2)+ROUNDDOWN(ROUNDDOWN(MAX(IF(S181&lt;=1949000,S181*5%,IF(S181&lt;=3299000,S181*10%-97500,IF(S181&lt;=6949000,S181*20%-427500,IF(S181&lt;=8999000,S181*23%-636000,IF(S181&lt;=17999000,S181*33%-1536000,IF(S181&lt;=39999000,S181*40%-2796000,S181*45%-4796000)))))),0),-2)*2.1%,0)</x:f>
        <x:v>918389</x:v>
      </x:c>
      <x:c r="U181" s="134" t="n">
        <x:f>ROUNDDOWN(MAX(($AI$8+R181)-IF(($AI$8+R181)&lt;=24000000,430000,IF(($AI$8+R181)&lt;=24500000,290000,IF(($AI$8+R181)&lt;=25000000,150000,0)))-$AI$10,0),-3)</x:f>
        <x:v>6825000</x:v>
      </x:c>
      <x:c r="V181" s="134" t="n">
        <x:f>ROUNDDOWN(U181*10%,0)+5000</x:f>
        <x:v>687500</x:v>
      </x:c>
      <x:c r="W181" s="134" t="n">
        <x:f>IF($AI$20="OK",$AI$16-(T181+V181),0)</x:f>
        <x:v>0</x:v>
      </x:c>
      <x:c r="X181" s="134" t="n">
        <x:f>F181+W181</x:f>
        <x:v>-643859.1570477958</x:v>
      </x:c>
      <x:c r="Y181" s="134" t="n">
        <x:f>Y180+X181</x:f>
        <x:v>-18339761.232801627</x:v>
      </x:c>
      <x:c r="Z181" s="134" t="n">
        <x:f>MAX(Z180-M181,0)</x:f>
        <x:v>0</x:v>
      </x:c>
      <x:c r="AA181" s="134" t="n">
        <x:f>MAX(AA180-N181,0)</x:f>
        <x:v>0</x:v>
      </x:c>
      <x:c r="AB181" s="134" t="n">
        <x:f>MAX('診断'!$C$7-'診断'!$C$50,0)+Z181+AA181+'診断'!$C$57</x:f>
        <x:v>35000000</x:v>
      </x:c>
      <x:c r="AC181" s="134" t="n">
        <x:f>MAX(J181-AB181-(J181*'診断'!$C$24+'診断'!$C$25)-'診断'!$C$58,0)</x:f>
        <x:v>0</x:v>
      </x:c>
      <x:c r="AD181" s="134" t="n">
        <x:f>IF($AI$20&lt;&gt;"OK",0,AC181*IF(AG181="長期",15%+5%+15%*2.1%,30%+9%+30%*2.1%))</x:f>
        <x:v>0</x:v>
      </x:c>
      <x:c r="AE181" s="134" t="n">
        <x:f>J181-(J181*'診断'!$C$24+'診断'!$C$25)-I181-AD181</x:f>
        <x:v>22574989.469115917</x:v>
      </x:c>
      <x:c r="AF181" s="134" t="n">
        <x:f>Y181+AE181-MAX(0,'診断'!$C$7+'診断'!$C$8-'診断'!$C$9)</x:f>
        <x:v>3735228.2363142893</x:v>
      </x:c>
      <x:c r="AG181" s="406" t="str">
        <x:f>IF('診断'!$C$49&lt;DATE(YEAR('診断'!$C$49)+A181-1-5,1,1),"長期","短期")</x:f>
        <x:v>長期</x:v>
      </x:c>
    </x:row>
    <x:row r="182" ht="20" customHeight="1">
      <x:c r="A182" s="197" t="n">
        <x:v>35</x:v>
      </x:c>
      <x:c r="B182" s="242" t="n">
        <x:f>'診断'!$C$12*12*'診断'!$D$30*'診断'!$D$31*(1-'診断'!$C$19)^(A182-1)</x:f>
        <x:v>1249778.2116273353</x:v>
      </x:c>
      <x:c r="C182" s="242" t="n">
        <x:f>(('診断'!$C$13+'診断'!$C$14)*12+'診断'!$C$21+'診断'!$C$22+B182*'診断'!$C$15)*'診断'!$D$33+'診断'!$C$23*'診断'!$D$34</x:f>
        <x:v>512488.91058136674</x:v>
      </x:c>
      <x:c r="D182" s="242" t="n">
        <x:f>B182-C182</x:f>
        <x:v>737289.3010459685</x:v>
      </x:c>
      <x:c r="E182" s="242" t="n">
        <x:f>IF(A182&lt;='診断'!$C$11,-PMT('診断'!$D$32/12,'診断'!$C$11*12,'診断'!$C$9)*12,0)</x:f>
        <x:v>1387114.7359884677</x:v>
      </x:c>
      <x:c r="F182" s="242" t="n">
        <x:f>D182-E182</x:f>
        <x:v>-649825.4349424992</x:v>
      </x:c>
      <x:c r="G182" s="242" t="n">
        <x:f>G181+F182</x:f>
        <x:v>-18989586.667744126</x:v>
      </x:c>
      <x:c r="H182" s="242" t="n">
        <x:f>H181+MAX(0,-F182)</x:f>
        <x:v>18989586.667744126</x:v>
      </x:c>
      <x:c r="I182" s="242" t="n">
        <x:f>IF(A182&gt;='診断'!$C$11,0,MAX(0,-FV('診断'!$D$32/12,A182*12,PMT('診断'!$D$32/12,'診断'!$C$11*12,'診断'!$C$9),'診断'!$C$9)))</x:f>
        <x:v>0</x:v>
      </x:c>
      <x:c r="J182" s="242" t="n">
        <x:f>'診断'!$C$7*(1+'診断'!$D$35)^A182</x:f>
        <x:v>24620669.32498492</x:v>
      </x:c>
      <x:c r="K182" s="242" t="n">
        <x:f>J182*(1-'診断'!$C$24)-'診断'!$C$25-I182</x:f>
        <x:v>23708187.237260416</x:v>
      </x:c>
      <x:c r="L182" s="242" t="n">
        <x:f>MAX(E182-MAX(I181-I182,0),0)</x:f>
        <x:v>13430.228073656326</x:v>
      </x:c>
      <x:c r="M182" s="242" t="n">
        <x:f>IF(OR($AI$20&lt;&gt;"OK",A182&gt;'診断'!$C$16),0,MIN('診断'!$C$50*'診断'!$C$53*ROUNDUP(1/MAX(2,ROUNDDOWN(IF('診断'!$C$52&gt;=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,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*20%,(IF('診断'!$C$51="RC/SRC住宅",47,IF('診断'!$C$51="木造住宅",22,IF('診断'!$C$51="木骨モルタル住宅",20,IF('診断'!$C$51="鉄骨住宅（4mm超）",34,IF('診断'!$C$51="鉄骨住宅（3mm超4mm以下）",27,IF('診断'!$C$51="鉄骨住宅（3mm以下）",19,38))))))-'診断'!$C$52)+'診断'!$C$52*20%),0)),3)*(12)/12,MAX(Z181-1,0)))</x:f>
        <x:v>0</x:v>
      </x:c>
      <x:c r="N182" s="242" t="n">
        <x:f>IF(OR($AI$20&lt;&gt;"OK",A182&gt;'診断'!$C$16),0,MIN('診断'!$C$50*(1-'診断'!$C$53)*ROUNDUP(1/MAX(2,ROUNDDOWN(IF('診断'!$C$52&gt;=15,15*20%,(15-'診断'!$C$52)+'診断'!$C$52*20%),0)),3)*(12)/12,MAX(AA181-1,0)))</x:f>
        <x:v>0</x:v>
      </x:c>
      <x:c r="O182" s="242" t="n">
        <x:f>M182+N182</x:f>
        <x:v>0</x:v>
      </x:c>
      <x:c r="P182" s="134" t="n">
        <x:f>B182-C182-L182-O182</x:f>
        <x:v>723859.0729723122</x:v>
      </x:c>
      <x:c r="Q182" s="134" t="n">
        <x:f>L182*IF('診断'!$C$9&gt;0,$AI$17/'診断'!$C$9,0)</x:f>
        <x:v>13057.166182721428</x:v>
      </x:c>
      <x:c r="R182" s="134" t="n">
        <x:f>IF(P182&gt;=0,P182,MIN(0,P182+Q182))</x:f>
        <x:v>723859.0729723122</x:v>
      </x:c>
      <x:c r="S182" s="134" t="n">
        <x:f>ROUNDDOWN(MAX(($AI$8+R182)-IF(($AI$8+R182)&lt;=4890000,1040000,IF(($AI$8+R182)&lt;=6550000,670000,IF(($AI$8+R182)&lt;=23500000,620000,IF(($AI$8+R182)&lt;=24000000,480000,IF(($AI$8+R182)&lt;=24500000,320000,IF(($AI$8+R182)&lt;=25000000,160000,0))))))-$AI$10,0),-3)</x:f>
        <x:v>6653000</x:v>
      </x:c>
      <x:c r="T182" s="134" t="n">
        <x:f>ROUNDDOWN(MAX(IF(S182&lt;=1949000,S182*5%,IF(S182&lt;=3299000,S182*10%-97500,IF(S182&lt;=6949000,S182*20%-427500,IF(S182&lt;=8999000,S182*23%-636000,IF(S182&lt;=17999000,S182*33%-1536000,IF(S182&lt;=39999000,S182*40%-2796000,S182*45%-4796000)))))),0),-2)+ROUNDDOWN(ROUNDDOWN(MAX(IF(S182&lt;=1949000,S182*5%,IF(S182&lt;=3299000,S182*10%-97500,IF(S182&lt;=6949000,S182*20%-427500,IF(S182&lt;=8999000,S182*23%-636000,IF(S182&lt;=17999000,S182*33%-1536000,IF(S182&lt;=39999000,S182*40%-2796000,S182*45%-4796000)))))),0),-2)*2.1%,0)</x:f>
        <x:v>922065</x:v>
      </x:c>
      <x:c r="U182" s="134" t="n">
        <x:f>ROUNDDOWN(MAX(($AI$8+R182)-IF(($AI$8+R182)&lt;=24000000,430000,IF(($AI$8+R182)&lt;=24500000,290000,IF(($AI$8+R182)&lt;=25000000,150000,0)))-$AI$10,0),-3)</x:f>
        <x:v>6843000</x:v>
      </x:c>
      <x:c r="V182" s="134" t="n">
        <x:f>ROUNDDOWN(U182*10%,0)+5000</x:f>
        <x:v>689300</x:v>
      </x:c>
      <x:c r="W182" s="134" t="n">
        <x:f>IF($AI$20="OK",$AI$16-(T182+V182),0)</x:f>
        <x:v>0</x:v>
      </x:c>
      <x:c r="X182" s="134" t="n">
        <x:f>F182+W182</x:f>
        <x:v>-649825.4349424992</x:v>
      </x:c>
      <x:c r="Y182" s="134" t="n">
        <x:f>Y181+X182</x:f>
        <x:v>-18989586.667744126</x:v>
      </x:c>
      <x:c r="Z182" s="134" t="n">
        <x:f>MAX(Z181-M182,0)</x:f>
        <x:v>0</x:v>
      </x:c>
      <x:c r="AA182" s="134" t="n">
        <x:f>MAX(AA181-N182,0)</x:f>
        <x:v>0</x:v>
      </x:c>
      <x:c r="AB182" s="134" t="n">
        <x:f>MAX('診断'!$C$7-'診断'!$C$50,0)+Z182+AA182+'診断'!$C$57</x:f>
        <x:v>35000000</x:v>
      </x:c>
      <x:c r="AC182" s="134" t="n">
        <x:f>MAX(J182-AB182-(J182*'診断'!$C$24+'診断'!$C$25)-'診断'!$C$58,0)</x:f>
        <x:v>0</x:v>
      </x:c>
      <x:c r="AD182" s="134" t="n">
        <x:f>IF($AI$20&lt;&gt;"OK",0,AC182*IF(AG182="長期",15%+5%+15%*2.1%,30%+9%+30%*2.1%))</x:f>
        <x:v>0</x:v>
      </x:c>
      <x:c r="AE182" s="134" t="n">
        <x:f>J182-(J182*'診断'!$C$24+'診断'!$C$25)-I182-AD182</x:f>
        <x:v>23708187.237260416</x:v>
      </x:c>
      <x:c r="AF182" s="134" t="n">
        <x:f>Y182+AE182-MAX(0,'診断'!$C$7+'診断'!$C$8-'診断'!$C$9)</x:f>
        <x:v>4218600.56951629</x:v>
      </x:c>
      <x:c r="AG182" s="406" t="str">
        <x:f>IF('診断'!$C$49&lt;DATE(YEAR('診断'!$C$49)+A182-1-5,1,1),"長期","短期")</x:f>
        <x:v>長期</x:v>
      </x:c>
    </x:row>
  </x:sheetData>
  <x:mergeCells>
    <x:mergeCell ref="A1:A2"/>
    <x:mergeCell ref="A4:B4"/>
    <x:mergeCell ref="C4:D4"/>
    <x:mergeCell ref="A66:K66"/>
    <x:mergeCell ref="A106:K106"/>
    <x:mergeCell ref="A146:K146"/>
    <x:mergeCell ref="A62:K62"/>
    <x:mergeCell ref="B1:O2"/>
    <x:mergeCell ref="A3:O3"/>
  </x:mergeCells>
  <x:conditionalFormatting sqref="F25:H59">
    <x:cfRule type="cellIs" dxfId="0" priority="1" operator="lessThan">
      <x:formula>0</x:formula>
    </x:cfRule>
  </x:conditionalFormatting>
  <x:conditionalFormatting sqref="L25:M59">
    <x:cfRule type="cellIs" dxfId="3" priority="2" operator="lessThan">
      <x:formula>0</x:formula>
    </x:cfRule>
  </x:conditionalFormatting>
  <x:conditionalFormatting sqref="N25:O59">
    <x:cfRule type="cellIs" dxfId="7" priority="3" operator="greaterThan">
      <x:formula>0</x:formula>
    </x:cfRule>
    <x:cfRule type="cellIs" dxfId="8" priority="4" operator="lessThan">
      <x:formula>0</x:formula>
    </x:cfRule>
  </x:conditionalFormatting>
  <x:dataValidations count="1">
    <x:dataValidation type="list" sqref="C4:D4">
      <x:formula1>"低位,標準,高位"</x:formula1>
    </x:dataValidation>
  </x:dataValidations>
  <x:pageMargins left="0.7" right="0.7" top="0.75" bottom="0.75" header="0.3" footer="0.3"/>
  <x:drawing xmlns:r="http://schemas.openxmlformats.org/officeDocument/2006/relationships" r:id="R60f3cd64c2af4439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5" hidden="0" customWidth="1"/>
    <x:col min="3" max="3" width="24" hidden="0" customWidth="1"/>
    <x:col min="4" max="4" width="48" hidden="0" customWidth="1"/>
    <x:col min="5" max="5" width="14" hidden="0" customWidth="1"/>
    <x:col min="6" max="6" width="28" hidden="0" customWidth="1"/>
  </x:cols>
  <x:sheetData>
    <x:row r="1" ht="24" customHeight="1">
      <x:c r="A1" s="194" t="str">
        <x:v>S</x:v>
      </x:c>
      <x:c r="B1" s="195" t="str">
        <x:v>計算根拠・注意｜税引前と税引後を分けて確認</x:v>
      </x:c>
      <x:c r="C1" s="195"/>
      <x:c r="D1" s="195"/>
      <x:c r="E1" s="195"/>
      <x:c r="F1" s="195"/>
      <x:c r="G1" s="197"/>
      <x:c r="H1" s="197"/>
      <x:c r="I1" s="197"/>
      <x:c r="J1" s="197"/>
      <x:c r="K1" s="197"/>
      <x:c r="L1" s="197"/>
    </x:row>
    <x:row r="2" ht="24" customHeight="1">
      <x:c r="A2" s="194"/>
      <x:c r="B2" s="195"/>
      <x:c r="C2" s="195"/>
      <x:c r="D2" s="195"/>
      <x:c r="E2" s="195"/>
      <x:c r="F2" s="195"/>
      <x:c r="G2" s="197"/>
      <x:c r="H2" s="197"/>
      <x:c r="I2" s="197"/>
      <x:c r="J2" s="197"/>
      <x:c r="K2" s="197"/>
      <x:c r="L2" s="197"/>
    </x:row>
    <x:row r="3" ht="24" customHeight="1">
      <x:c r="A3" s="196" t="str">
        <x:v>現金額は1円単位で表示します。税効果は税負担の増減、譲渡所得税は売却時の税額として分けています。</x:v>
      </x:c>
      <x:c r="B3" s="196"/>
      <x:c r="C3" s="196"/>
      <x:c r="D3" s="196"/>
      <x:c r="E3" s="196"/>
      <x:c r="F3" s="196"/>
      <x:c r="G3" s="197"/>
      <x:c r="H3" s="197"/>
      <x:c r="I3" s="197"/>
      <x:c r="J3" s="197"/>
      <x:c r="K3" s="197"/>
      <x:c r="L3" s="197"/>
    </x:row>
    <x:row r="4">
      <x:c r="A4" s="197"/>
      <x:c r="B4" s="197"/>
      <x:c r="C4" s="197"/>
      <x:c r="D4" s="197"/>
      <x:c r="E4" s="197"/>
      <x:c r="F4" s="197"/>
      <x:c r="G4" s="197"/>
      <x:c r="H4" s="197"/>
      <x:c r="I4" s="197"/>
      <x:c r="J4" s="197"/>
      <x:c r="K4" s="197"/>
      <x:c r="L4" s="197"/>
    </x:row>
    <x:row r="5">
      <x:c r="A5" s="198" t="str">
        <x:v>計算式</x:v>
      </x:c>
      <x:c r="B5" s="198"/>
      <x:c r="C5" s="198"/>
      <x:c r="D5" s="198"/>
      <x:c r="E5" s="198"/>
      <x:c r="F5" s="198"/>
      <x:c r="G5" s="197"/>
      <x:c r="H5" s="197"/>
      <x:c r="I5" s="197"/>
      <x:c r="J5" s="197"/>
      <x:c r="K5" s="197"/>
      <x:c r="L5" s="197"/>
    </x:row>
    <x:row r="6" ht="28" customHeight="1">
      <x:c r="A6" s="384" t="str">
        <x:v>項目</x:v>
      </x:c>
      <x:c r="B6" s="384" t="str">
        <x:v>計算の考え方</x:v>
      </x:c>
      <x:c r="C6" s="384" t="str">
        <x:v>主要入力</x:v>
      </x:c>
      <x:c r="D6" s="384" t="str">
        <x:v>表示場所</x:v>
      </x:c>
      <x:c r="E6" s="384" t="str">
        <x:v>状態</x:v>
      </x:c>
      <x:c r="F6" s="384" t="str">
        <x:v>補足</x:v>
      </x:c>
      <x:c r="G6" s="197"/>
      <x:c r="H6" s="197"/>
      <x:c r="I6" s="197"/>
      <x:c r="J6" s="197"/>
      <x:c r="K6" s="197"/>
      <x:c r="L6" s="197"/>
    </x:row>
    <x:row r="7" ht="28" customHeight="1">
      <x:c r="A7" s="415" t="str">
        <x:v>実効家賃</x:v>
      </x:c>
      <x:c r="B7" s="415" t="str">
        <x:v>月額家賃×12×家賃倍率×稼働率×家賃下落</x:v>
      </x:c>
      <x:c r="C7" s="415" t="str">
        <x:v>家賃・稼働率</x:v>
      </x:c>
      <x:c r="D7" s="415" t="str">
        <x:v>年次推移</x:v>
      </x:c>
      <x:c r="E7" s="415" t="str">
        <x:v>実装</x:v>
      </x:c>
      <x:c r="F7" s="415" t="str">
        <x:v>将来予測ではなく比較用仮定</x:v>
      </x:c>
      <x:c r="G7" s="197"/>
      <x:c r="H7" s="197"/>
      <x:c r="I7" s="197"/>
      <x:c r="J7" s="197"/>
      <x:c r="K7" s="197"/>
      <x:c r="L7" s="197"/>
    </x:row>
    <x:row r="8" ht="28" customHeight="1">
      <x:c r="A8" s="415" t="str">
        <x:v>年間CF</x:v>
      </x:c>
      <x:c r="B8" s="415" t="str">
        <x:v>NOI－年間ローン返済</x:v>
      </x:c>
      <x:c r="C8" s="415" t="str">
        <x:v>金利・返済期間</x:v>
      </x:c>
      <x:c r="D8" s="415" t="str">
        <x:v>診断・年次推移</x:v>
      </x:c>
      <x:c r="E8" s="415" t="str">
        <x:v>実装</x:v>
      </x:c>
      <x:c r="F8" s="415" t="str">
        <x:v>税引前</x:v>
      </x:c>
      <x:c r="G8" s="197"/>
      <x:c r="H8" s="197"/>
      <x:c r="I8" s="197"/>
      <x:c r="J8" s="197"/>
      <x:c r="K8" s="197"/>
      <x:c r="L8" s="197"/>
    </x:row>
    <x:row r="9" ht="28" customHeight="1">
      <x:c r="A9" s="415" t="str">
        <x:v>減価償却</x:v>
      </x:c>
      <x:c r="B9" s="415" t="str">
        <x:v>建物を躯体・設備へ按分し定額法で概算</x:v>
      </x:c>
      <x:c r="C9" s="415" t="str">
        <x:v>建物価格・構造・築年</x:v>
      </x:c>
      <x:c r="D9" s="415" t="str">
        <x:v>年次推移</x:v>
      </x:c>
      <x:c r="E9" s="415" t="str">
        <x:v>条件付き</x:v>
      </x:c>
      <x:c r="F9" s="415" t="str">
        <x:v>建物価格入力後のみ有効</x:v>
      </x:c>
      <x:c r="G9" s="197"/>
      <x:c r="H9" s="197"/>
      <x:c r="I9" s="197"/>
      <x:c r="J9" s="197"/>
      <x:c r="K9" s="197"/>
      <x:c r="L9" s="197"/>
    </x:row>
    <x:row r="10" ht="28" customHeight="1">
      <x:c r="A10" s="415" t="str">
        <x:v>年間・累積税効果</x:v>
      </x:c>
      <x:c r="B10" s="415" t="str">
        <x:v>投資前税額－投資後税額。＋は税負担減、－は税負担増</x:v>
      </x:c>
      <x:c r="C10" s="415" t="str">
        <x:v>所得・控除・土地利息</x:v>
      </x:c>
      <x:c r="D10" s="415" t="str">
        <x:v>診断・年次推移</x:v>
      </x:c>
      <x:c r="E10" s="415" t="str">
        <x:v>条件付き</x:v>
      </x:c>
      <x:c r="F10" s="415" t="str">
        <x:v>譲渡所得税は含めず別表示</x:v>
      </x:c>
      <x:c r="G10" s="197"/>
      <x:c r="H10" s="197"/>
      <x:c r="I10" s="197"/>
      <x:c r="J10" s="197"/>
      <x:c r="K10" s="197"/>
      <x:c r="L10" s="197"/>
    </x:row>
    <x:row r="11" ht="28" customHeight="1">
      <x:c r="A11" s="415" t="str">
        <x:v>売却後手取り</x:v>
      </x:c>
      <x:c r="B11" s="415" t="str">
        <x:v>推定売却価格－売却費用－残債－譲渡所得税</x:v>
      </x:c>
      <x:c r="C11" s="415" t="str">
        <x:v>簿価・所有期間</x:v>
      </x:c>
      <x:c r="D11" s="415" t="str">
        <x:v>診断</x:v>
      </x:c>
      <x:c r="E11" s="415" t="str">
        <x:v>条件付き</x:v>
      </x:c>
      <x:c r="F11" s="415" t="str">
        <x:v>建物価格入力後のみ税を反映</x:v>
      </x:c>
      <x:c r="G11" s="197"/>
      <x:c r="H11" s="197"/>
      <x:c r="I11" s="197"/>
      <x:c r="J11" s="197"/>
      <x:c r="K11" s="197"/>
      <x:c r="L11" s="197"/>
    </x:row>
    <x:row r="12" ht="28" customHeight="1">
      <x:c r="A12" s="415" t="str">
        <x:v>税引前最終損益</x:v>
      </x:c>
      <x:c r="B12" s="415" t="str">
        <x:v>税前売却手取り＋累積税前CF－購入時自己資金</x:v>
      </x:c>
      <x:c r="C12" s="415" t="str">
        <x:v>全主要入力</x:v>
      </x:c>
      <x:c r="D12" s="415" t="str">
        <x:v>診断</x:v>
      </x:c>
      <x:c r="E12" s="415" t="str">
        <x:v>実装</x:v>
      </x:c>
      <x:c r="F12" s="415" t="str">
        <x:v>税入力なしでも計算</x:v>
      </x:c>
      <x:c r="G12" s="197"/>
      <x:c r="H12" s="197"/>
      <x:c r="I12" s="197"/>
      <x:c r="J12" s="197"/>
      <x:c r="K12" s="197"/>
      <x:c r="L12" s="197"/>
    </x:row>
    <x:row r="13" ht="28" customHeight="1">
      <x:c r="A13" s="415" t="str">
        <x:v>税引後最終損益</x:v>
      </x:c>
      <x:c r="B13" s="415" t="str">
        <x:v>税後売却手取り＋累積税後CF－購入時自己資金</x:v>
      </x:c>
      <x:c r="C13" s="415" t="str">
        <x:v>税務入力</x:v>
      </x:c>
      <x:c r="D13" s="415" t="str">
        <x:v>診断</x:v>
      </x:c>
      <x:c r="E13" s="415" t="str">
        <x:v>条件付き</x:v>
      </x:c>
      <x:c r="F13" s="415" t="str">
        <x:v>算定保留を明示</x:v>
      </x:c>
      <x:c r="G13" s="197"/>
      <x:c r="H13" s="197"/>
      <x:c r="I13" s="197"/>
      <x:c r="J13" s="197"/>
      <x:c r="K13" s="197"/>
      <x:c r="L13" s="197"/>
    </x:row>
    <x:row r="14" ht="28" customHeight="1">
      <x:c r="A14" s="383" t="str">
        <x:v>税引後計算の扱い</x:v>
      </x:c>
      <x:c r="B14" s="383"/>
      <x:c r="C14" s="383"/>
      <x:c r="D14" s="383"/>
      <x:c r="E14" s="383"/>
      <x:c r="F14" s="383"/>
      <x:c r="G14" s="197"/>
      <x:c r="H14" s="197"/>
      <x:c r="I14" s="197"/>
      <x:c r="J14" s="197"/>
      <x:c r="K14" s="197"/>
      <x:c r="L14" s="197"/>
    </x:row>
    <x:row r="15" ht="28" customHeight="1">
      <x:c r="A15" s="384" t="str">
        <x:v>項目</x:v>
      </x:c>
      <x:c r="B15" s="384" t="str">
        <x:v>採用した扱い</x:v>
      </x:c>
      <x:c r="C15" s="384" t="str">
        <x:v>未入力時</x:v>
      </x:c>
      <x:c r="D15" s="384" t="str">
        <x:v>注意</x:v>
      </x:c>
      <x:c r="E15" s="384" t="str">
        <x:v>確認先</x:v>
      </x:c>
      <x:c r="F15" s="384" t="str">
        <x:v>表示</x:v>
      </x:c>
      <x:c r="G15" s="197"/>
      <x:c r="H15" s="197"/>
      <x:c r="I15" s="197"/>
      <x:c r="J15" s="197"/>
      <x:c r="K15" s="197"/>
      <x:c r="L15" s="197"/>
    </x:row>
    <x:row r="16" ht="28" customHeight="1">
      <x:c r="A16" s="419" t="str">
        <x:v>建物価格</x:v>
      </x:c>
      <x:c r="B16" s="419" t="str">
        <x:v>土地と建物を分離</x:v>
      </x:c>
      <x:c r="C16" s="419" t="str">
        <x:v>算定保留</x:v>
      </x:c>
      <x:c r="D16" s="419" t="str">
        <x:v>契約書の消費税額から逆算する場合あり</x:v>
      </x:c>
      <x:c r="E16" s="419" t="str">
        <x:v>売買契約書</x:v>
      </x:c>
      <x:c r="F16" s="419" t="str">
        <x:v>診断</x:v>
      </x:c>
      <x:c r="G16" s="197"/>
      <x:c r="H16" s="197"/>
      <x:c r="I16" s="197"/>
      <x:c r="J16" s="197"/>
      <x:c r="K16" s="197"/>
      <x:c r="L16" s="197"/>
    </x:row>
    <x:row r="17" ht="28" customHeight="1">
      <x:c r="A17" s="419" t="str">
        <x:v>減価償却</x:v>
      </x:c>
      <x:c r="B17" s="419" t="str">
        <x:v>中古資産の簡便法・定額法概算</x:v>
      </x:c>
      <x:c r="C17" s="419" t="str">
        <x:v>0円として確定しない</x:v>
      </x:c>
      <x:c r="D17" s="419" t="str">
        <x:v>取得月・用途・資本的支出で変動</x:v>
      </x:c>
      <x:c r="E17" s="419" t="str">
        <x:v>税理士</x:v>
      </x:c>
      <x:c r="F17" s="419" t="str">
        <x:v>年次推移</x:v>
      </x:c>
      <x:c r="G17" s="197"/>
      <x:c r="H17" s="197"/>
      <x:c r="I17" s="197"/>
      <x:c r="J17" s="197"/>
      <x:c r="K17" s="197"/>
      <x:c r="L17" s="197"/>
    </x:row>
    <x:row r="18" ht="28" customHeight="1">
      <x:c r="A18" s="419" t="str">
        <x:v>所得税・住民税</x:v>
      </x:c>
      <x:c r="B18" s="419" t="str">
        <x:v>給与等と不動産所得を合算</x:v>
      </x:c>
      <x:c r="C18" s="419" t="str">
        <x:v>算定保留</x:v>
      </x:c>
      <x:c r="D18" s="419" t="str">
        <x:v>個別控除・損益通算制限で変動</x:v>
      </x:c>
      <x:c r="E18" s="419" t="str">
        <x:v>源泉徴収票・確定申告</x:v>
      </x:c>
      <x:c r="F18" s="419" t="str">
        <x:v>年次推移</x:v>
      </x:c>
      <x:c r="G18" s="197"/>
      <x:c r="H18" s="197"/>
      <x:c r="I18" s="197"/>
      <x:c r="J18" s="197"/>
      <x:c r="K18" s="197"/>
      <x:c r="L18" s="197"/>
    </x:row>
    <x:row r="19" ht="28" customHeight="1">
      <x:c r="A19" s="419" t="str">
        <x:v>譲渡所得税</x:v>
      </x:c>
      <x:c r="B19" s="419" t="str">
        <x:v>簿価と所有期間から概算</x:v>
      </x:c>
      <x:c r="C19" s="419" t="str">
        <x:v>算定保留</x:v>
      </x:c>
      <x:c r="D19" s="419" t="str">
        <x:v>特例・取得費・譲渡費用で変動</x:v>
      </x:c>
      <x:c r="E19" s="419" t="str">
        <x:v>税理士・契約書</x:v>
      </x:c>
      <x:c r="F19" s="419" t="str">
        <x:v>診断</x:v>
      </x:c>
      <x:c r="G19" s="197"/>
      <x:c r="H19" s="197"/>
      <x:c r="I19" s="197"/>
      <x:c r="J19" s="197"/>
      <x:c r="K19" s="197"/>
      <x:c r="L19" s="197"/>
    </x:row>
    <x:row r="20" ht="30" customHeight="1">
      <x:c r="A20" s="554" t="str">
        <x:v>表示上の現金額は1円未満を四捨五入しています。内部計算では円未満を保持するため、表示額の単純合計と1円程度ずれる場合があります。</x:v>
      </x:c>
      <x:c r="B20" s="554"/>
      <x:c r="C20" s="554"/>
      <x:c r="D20" s="554"/>
      <x:c r="E20" s="554"/>
      <x:c r="F20" s="554"/>
      <x:c r="G20" s="197"/>
      <x:c r="H20" s="197"/>
      <x:c r="I20" s="197"/>
      <x:c r="J20" s="197"/>
      <x:c r="K20" s="197"/>
      <x:c r="L20" s="197"/>
    </x:row>
    <x:row r="21" ht="28" customHeight="1">
      <x:c r="A21" s="198" t="str">
        <x:v>モデルチェック</x:v>
      </x:c>
      <x:c r="B21" s="198"/>
      <x:c r="C21" s="198"/>
      <x:c r="D21" s="198"/>
      <x:c r="E21" s="198"/>
      <x:c r="F21" s="198"/>
      <x:c r="G21" s="197"/>
      <x:c r="H21" s="197"/>
      <x:c r="I21" s="197"/>
      <x:c r="J21" s="197"/>
      <x:c r="K21" s="197"/>
      <x:c r="L21" s="197"/>
    </x:row>
    <x:row r="22" ht="28" customHeight="1">
      <x:c r="A22" s="384" t="str">
        <x:v>チェック</x:v>
      </x:c>
      <x:c r="B22" s="384" t="str">
        <x:v>実績</x:v>
      </x:c>
      <x:c r="C22" s="384" t="str">
        <x:v>期待値</x:v>
      </x:c>
      <x:c r="D22" s="384" t="str">
        <x:v>差異</x:v>
      </x:c>
      <x:c r="E22" s="384" t="str">
        <x:v>判定</x:v>
      </x:c>
      <x:c r="F22" s="384" t="str">
        <x:v>対応</x:v>
      </x:c>
      <x:c r="G22" s="197"/>
      <x:c r="H22" s="197"/>
      <x:c r="I22" s="197"/>
      <x:c r="J22" s="197"/>
      <x:c r="K22" s="197"/>
      <x:c r="L22" s="197"/>
    </x:row>
    <x:row r="23" ht="28" customHeight="1">
      <x:c r="A23" s="296" t="str">
        <x:v>売却予定年</x:v>
      </x:c>
      <x:c r="B23" s="296" t="n">
        <x:f>'診断'!$C$16</x:f>
        <x:v>10</x:v>
      </x:c>
      <x:c r="C23" s="296" t="n">
        <x:v>35</x:v>
      </x:c>
      <x:c r="D23" s="296" t="n">
        <x:f>MAX(0,B23-C23)</x:f>
        <x:v>0</x:v>
      </x:c>
      <x:c r="E23" s="296" t="str">
        <x:f>IF(AND(B23&gt;=1,B23&lt;=C23),"OK","要確認")</x:f>
        <x:v>OK</x:v>
      </x:c>
      <x:c r="F23" s="296" t="str">
        <x:v>1～35年で入力</x:v>
      </x:c>
      <x:c r="G23" s="197"/>
      <x:c r="H23" s="197"/>
      <x:c r="I23" s="197"/>
      <x:c r="J23" s="197"/>
      <x:c r="K23" s="197"/>
      <x:c r="L23" s="197"/>
    </x:row>
    <x:row r="24" ht="28" customHeight="1">
      <x:c r="A24" s="296" t="str">
        <x:v>返済期間</x:v>
      </x:c>
      <x:c r="B24" s="296" t="n">
        <x:f>'診断'!$C$11</x:f>
        <x:v>35</x:v>
      </x:c>
      <x:c r="C24" s="296" t="n">
        <x:v>50</x:v>
      </x:c>
      <x:c r="D24" s="296" t="n">
        <x:f>MAX(0,B24-C24)</x:f>
        <x:v>0</x:v>
      </x:c>
      <x:c r="E24" s="296" t="str">
        <x:f>IF(AND(B24&gt;=1,B24&lt;=C24),"OK","要確認")</x:f>
        <x:v>OK</x:v>
      </x:c>
      <x:c r="F24" s="296" t="str">
        <x:v>1～50年で入力</x:v>
      </x:c>
      <x:c r="G24" s="197"/>
      <x:c r="H24" s="197"/>
      <x:c r="I24" s="197"/>
      <x:c r="J24" s="197"/>
      <x:c r="K24" s="197"/>
      <x:c r="L24" s="197"/>
    </x:row>
    <x:row r="25" ht="28" customHeight="1">
      <x:c r="A25" s="296" t="str">
        <x:v>基本入力</x:v>
      </x:c>
      <x:c r="B25" s="297" t="n">
        <x:f>IF(AND('診断'!$C$7&gt;0,'診断'!$C$9&gt;=0,'診断'!$C$12&gt;0),1,0)</x:f>
        <x:v>1</x:v>
      </x:c>
      <x:c r="C25" s="297" t="n">
        <x:v>1</x:v>
      </x:c>
      <x:c r="D25" s="297" t="n">
        <x:f>C25-B25</x:f>
        <x:v>0</x:v>
      </x:c>
      <x:c r="E25" s="296" t="str">
        <x:f>IF(B25=C25,"OK","要確認")</x:f>
        <x:v>OK</x:v>
      </x:c>
      <x:c r="F25" s="296" t="str">
        <x:v>価格・借入・家賃が正数</x:v>
      </x:c>
      <x:c r="G25" s="197"/>
      <x:c r="H25" s="197"/>
      <x:c r="I25" s="197"/>
      <x:c r="J25" s="197"/>
      <x:c r="K25" s="197"/>
      <x:c r="L25" s="197"/>
    </x:row>
    <x:row r="26" ht="28" customHeight="1">
      <x:c r="A26" s="296" t="str">
        <x:v>建物価格</x:v>
      </x:c>
      <x:c r="B26" s="296" t="n">
        <x:f>IF('診断'!$C$50&gt;0,1,0)</x:f>
        <x:v>0</x:v>
      </x:c>
      <x:c r="C26" s="296" t="n">
        <x:v>1</x:v>
      </x:c>
      <x:c r="D26" s="296" t="n">
        <x:f>C26-B26</x:f>
        <x:v>1</x:v>
      </x:c>
      <x:c r="E26" s="296" t="str">
        <x:f>IF(B26=C26,"OK","算定保留")</x:f>
        <x:v>算定保留</x:v>
      </x:c>
      <x:c r="F26" s="296" t="str">
        <x:v>税引後を確認する場合は入力</x:v>
      </x:c>
      <x:c r="G26" s="197"/>
      <x:c r="H26" s="197"/>
      <x:c r="I26" s="197"/>
      <x:c r="J26" s="197"/>
      <x:c r="K26" s="197"/>
      <x:c r="L26" s="197"/>
    </x:row>
    <x:row r="27" ht="28" customHeight="1">
      <x:c r="A27" s="296" t="str">
        <x:v>税務入力</x:v>
      </x:c>
      <x:c r="B27" s="296" t="str">
        <x:f>'診断'!$C$59</x:f>
        <x:v>算定保留</x:v>
      </x:c>
      <x:c r="C27" s="296" t="str">
        <x:v>OK</x:v>
      </x:c>
      <x:c r="D27" s="296"/>
      <x:c r="E27" s="296" t="str">
        <x:f>IF(B27="OK","OK",B27)</x:f>
        <x:v>算定保留</x:v>
      </x:c>
      <x:c r="F27" s="296" t="str">
        <x:v>診断タブの任意入力を確認</x:v>
      </x:c>
      <x:c r="G27" s="197"/>
      <x:c r="H27" s="197"/>
      <x:c r="I27" s="197"/>
      <x:c r="J27" s="197"/>
      <x:c r="K27" s="197"/>
      <x:c r="L27" s="197"/>
    </x:row>
    <x:row r="28" ht="28" customHeight="1">
      <x:c r="A28" s="296" t="str">
        <x:v>モデル全体</x:v>
      </x:c>
      <x:c r="B28" s="296"/>
      <x:c r="C28" s="296"/>
      <x:c r="D28" s="296"/>
      <x:c r="E28" s="296" t="str">
        <x:f>IF(COUNTIF(E23:E25,"要確認")&gt;0,"要確認",IF(E27="OK","OK","税引前のみOK"))</x:f>
        <x:v>税引前のみOK</x:v>
      </x:c>
      <x:c r="F28" s="296" t="str">
        <x:v>税前モデルと税後ゲートを集約</x:v>
      </x:c>
      <x:c r="G28" s="197"/>
      <x:c r="H28" s="197"/>
      <x:c r="I28" s="197"/>
      <x:c r="J28" s="197"/>
      <x:c r="K28" s="197"/>
      <x:c r="L28" s="197"/>
    </x:row>
    <x:row r="29" ht="28" customHeight="1">
      <x:c r="A29" s="197"/>
      <x:c r="B29" s="197"/>
      <x:c r="C29" s="197"/>
      <x:c r="D29" s="197"/>
      <x:c r="E29" s="197"/>
      <x:c r="F29" s="197"/>
      <x:c r="G29" s="197"/>
      <x:c r="H29" s="197"/>
      <x:c r="I29" s="197"/>
      <x:c r="J29" s="197"/>
      <x:c r="K29" s="197"/>
      <x:c r="L29" s="197"/>
    </x:row>
    <x:row r="30" ht="28" customHeight="1">
      <x:c r="A30" s="198" t="str">
        <x:v>一次情報・UX参考</x:v>
      </x:c>
      <x:c r="B30" s="198"/>
      <x:c r="C30" s="198"/>
      <x:c r="D30" s="198"/>
      <x:c r="E30" s="198"/>
      <x:c r="F30" s="198"/>
      <x:c r="G30" s="197"/>
      <x:c r="H30" s="197"/>
      <x:c r="I30" s="197"/>
      <x:c r="J30" s="197"/>
      <x:c r="K30" s="197"/>
      <x:c r="L30" s="197"/>
    </x:row>
    <x:row r="31" ht="28" customHeight="1">
      <x:c r="A31" s="199" t="str">
        <x:v>区分</x:v>
      </x:c>
      <x:c r="B31" s="199" t="str">
        <x:v>名称</x:v>
      </x:c>
      <x:c r="C31" s="199" t="str">
        <x:v>用途</x:v>
      </x:c>
      <x:c r="D31" s="199" t="str">
        <x:v>URL</x:v>
      </x:c>
      <x:c r="E31" s="199" t="str">
        <x:v>確認日</x:v>
      </x:c>
      <x:c r="F31" s="199" t="str">
        <x:v>備考</x:v>
      </x:c>
      <x:c r="G31" s="197"/>
      <x:c r="H31" s="197"/>
      <x:c r="I31" s="197"/>
      <x:c r="J31" s="197"/>
      <x:c r="K31" s="197"/>
      <x:c r="L31" s="197"/>
    </x:row>
    <x:row r="32" ht="28" customHeight="1">
      <x:c r="A32" s="294" t="str">
        <x:v>一次情報</x:v>
      </x:c>
      <x:c r="B32" s="294" t="str">
        <x:v>国税庁 No.1370</x:v>
      </x:c>
      <x:c r="C32" s="294" t="str">
        <x:v>不動産所得の計算</x:v>
      </x:c>
      <x:c r="D32" s="298" t="str">
        <x:v>https://www.nta.go.jp/taxes/shiraberu/taxanswer/shotoku/1370.htm</x:v>
      </x:c>
      <x:c r="E32" s="294" t="str">
        <x:v>2026-09-03</x:v>
      </x:c>
      <x:c r="F32" s="294" t="str">
        <x:v>正式版の税計算で使用</x:v>
      </x:c>
      <x:c r="G32" s="197"/>
      <x:c r="H32" s="197"/>
      <x:c r="I32" s="197"/>
      <x:c r="J32" s="197"/>
      <x:c r="K32" s="197"/>
      <x:c r="L32" s="197"/>
    </x:row>
    <x:row r="33" ht="28" customHeight="1">
      <x:c r="A33" s="294" t="str">
        <x:v>一次情報</x:v>
      </x:c>
      <x:c r="B33" s="294" t="str">
        <x:v>国税庁 No.1391</x:v>
      </x:c>
      <x:c r="C33" s="294" t="str">
        <x:v>損益通算の制限</x:v>
      </x:c>
      <x:c r="D33" s="298" t="str">
        <x:v>https://www.nta.go.jp/taxes/shiraberu/taxanswer/shotoku/1391.htm</x:v>
      </x:c>
      <x:c r="E33" s="294" t="str">
        <x:v>2026-09-03</x:v>
      </x:c>
      <x:c r="F33" s="294" t="str">
        <x:v>土地借入利息に注意</x:v>
      </x:c>
      <x:c r="G33" s="197"/>
      <x:c r="H33" s="197"/>
      <x:c r="I33" s="197"/>
      <x:c r="J33" s="197"/>
      <x:c r="K33" s="197"/>
      <x:c r="L33" s="197"/>
    </x:row>
    <x:row r="34" ht="28" customHeight="1">
      <x:c r="A34" s="294" t="str">
        <x:v>一次情報</x:v>
      </x:c>
      <x:c r="B34" s="294" t="str">
        <x:v>国税庁 No.3255</x:v>
      </x:c>
      <x:c r="C34" s="294" t="str">
        <x:v>譲渡費用</x:v>
      </x:c>
      <x:c r="D34" s="298" t="str">
        <x:v>https://www.nta.go.jp/taxes/shiraberu/taxanswer/joto/3255.htm</x:v>
      </x:c>
      <x:c r="E34" s="294" t="str">
        <x:v>2026-09-03</x:v>
      </x:c>
      <x:c r="F34" s="294" t="str">
        <x:v>売却費用の範囲</x:v>
      </x:c>
      <x:c r="G34" s="197"/>
      <x:c r="H34" s="197"/>
      <x:c r="I34" s="197"/>
      <x:c r="J34" s="197"/>
      <x:c r="K34" s="197"/>
      <x:c r="L34" s="197"/>
    </x:row>
    <x:row r="35" ht="28" customHeight="1">
      <x:c r="A35" s="294" t="str">
        <x:v>一次情報</x:v>
      </x:c>
      <x:c r="B35" s="294" t="str">
        <x:v>国土交通省</x:v>
      </x:c>
      <x:c r="C35" s="294" t="str">
        <x:v>仲介手数料上限</x:v>
      </x:c>
      <x:c r="D35" s="298" t="str">
        <x:v>https://www.mlit.go.jp/totikensangyo/const/1_6_bf_000013.html</x:v>
      </x:c>
      <x:c r="E35" s="294" t="str">
        <x:v>2026-09-03</x:v>
      </x:c>
      <x:c r="F35" s="294" t="str">
        <x:v>実額は見積確認</x:v>
      </x:c>
      <x:c r="G35" s="197"/>
      <x:c r="H35" s="197"/>
      <x:c r="I35" s="197"/>
      <x:c r="J35" s="197"/>
      <x:c r="K35" s="197"/>
      <x:c r="L35" s="197"/>
    </x:row>
    <x:row r="36" ht="28" customHeight="1">
      <x:c r="A36" s="294" t="str">
        <x:v>UX参考</x:v>
      </x:c>
      <x:c r="B36" s="294" t="str">
        <x:v>住宅金融支援機構</x:v>
      </x:c>
      <x:c r="C36" s="294" t="str">
        <x:v>最大3プラン比較</x:v>
      </x:c>
      <x:c r="D36" s="298" t="str">
        <x:v>https://www.jhf.go.jp/simulation_loan/</x:v>
      </x:c>
      <x:c r="E36" s="294" t="str">
        <x:v>2026-09-03</x:v>
      </x:c>
      <x:c r="F36" s="294" t="str">
        <x:v>シナリオ比較へ反映</x:v>
      </x:c>
      <x:c r="G36" s="197"/>
      <x:c r="H36" s="197"/>
      <x:c r="I36" s="197"/>
      <x:c r="J36" s="197"/>
      <x:c r="K36" s="197"/>
      <x:c r="L36" s="197"/>
    </x:row>
    <x:row r="37" ht="28" customHeight="1">
      <x:c r="A37" s="294" t="str">
        <x:v>UX参考</x:v>
      </x:c>
      <x:c r="B37" s="294" t="str">
        <x:v>楽天証券</x:v>
      </x:c>
      <x:c r="C37" s="294" t="str">
        <x:v>少数入力・目的別結果</x:v>
      </x:c>
      <x:c r="D37" s="298" t="str">
        <x:v>https://www.rakuten-sec.co.jp/web/fund/saving/simulation/</x:v>
      </x:c>
      <x:c r="E37" s="294" t="str">
        <x:v>2026-09-03</x:v>
      </x:c>
      <x:c r="F37" s="294" t="str">
        <x:v>基本入力の削減へ反映</x:v>
      </x:c>
      <x:c r="G37" s="197"/>
      <x:c r="H37" s="197"/>
      <x:c r="I37" s="197"/>
      <x:c r="J37" s="197"/>
      <x:c r="K37" s="197"/>
      <x:c r="L37" s="197"/>
    </x:row>
    <x:row r="38" ht="28" customHeight="1">
      <x:c r="A38" s="294" t="str">
        <x:v>UX参考</x:v>
      </x:c>
      <x:c r="B38" s="294" t="str">
        <x:v>みずほ不動産販売</x:v>
      </x:c>
      <x:c r="C38" s="294" t="str">
        <x:v>必須入力後に任意入力</x:v>
      </x:c>
      <x:c r="D38" s="298" t="str">
        <x:v>https://www.mizuho-re.co.jp/knowledge/investorssimulation/</x:v>
      </x:c>
      <x:c r="E38" s="294" t="str">
        <x:v>2026-09-03</x:v>
      </x:c>
      <x:c r="F38" s="294" t="str">
        <x:v>段階開示へ反映</x:v>
      </x:c>
      <x:c r="G38" s="197"/>
      <x:c r="H38" s="197"/>
      <x:c r="I38" s="197"/>
      <x:c r="J38" s="197"/>
      <x:c r="K38" s="197"/>
      <x:c r="L38" s="197"/>
    </x:row>
    <x:row r="39" ht="28" customHeight="1">
      <x:c r="A39" s="294" t="str">
        <x:v>UX参考</x:v>
      </x:c>
      <x:c r="B39" s="294" t="str">
        <x:v>楽待</x:v>
      </x:c>
      <x:c r="C39" s="294" t="str">
        <x:v>少数入力から長期CF</x:v>
      </x:c>
      <x:c r="D39" s="298" t="str">
        <x:v>https://www.rakumachi.jp/property/investment_simulator</x:v>
      </x:c>
      <x:c r="E39" s="294" t="str">
        <x:v>2026-09-03</x:v>
      </x:c>
      <x:c r="F39" s="294" t="str">
        <x:v>初回負荷の削減へ反映</x:v>
      </x:c>
      <x:c r="G39" s="197"/>
      <x:c r="H39" s="197"/>
      <x:c r="I39" s="197"/>
      <x:c r="J39" s="197"/>
      <x:c r="K39" s="197"/>
      <x:c r="L39" s="197"/>
    </x:row>
    <x:row r="40" ht="28" customHeight="1">
      <x:c r="A40" s="294" t="str">
        <x:v>UX参考</x:v>
      </x:c>
      <x:c r="B40" s="294" t="str">
        <x:v>野村不動産ソリューションズ</x:v>
      </x:c>
      <x:c r="C40" s="294" t="str">
        <x:v>指標切替グラフ</x:v>
      </x:c>
      <x:c r="D40" s="298" t="str">
        <x:v>https://www.nomu.com/pro/cashflow/</x:v>
      </x:c>
      <x:c r="E40" s="294" t="str">
        <x:v>2026-09-03</x:v>
      </x:c>
      <x:c r="F40" s="294" t="str">
        <x:v>グラフを主要2種類へ限定</x:v>
      </x:c>
      <x:c r="G40" s="197"/>
      <x:c r="H40" s="197"/>
      <x:c r="I40" s="197"/>
      <x:c r="J40" s="197"/>
      <x:c r="K40" s="197"/>
      <x:c r="L40" s="197"/>
    </x:row>
    <x:row r="41" ht="28" customHeight="1">
      <x:c r="A41" s="197"/>
      <x:c r="B41" s="197"/>
      <x:c r="C41" s="197"/>
      <x:c r="D41" s="197"/>
      <x:c r="E41" s="197"/>
      <x:c r="F41" s="197"/>
      <x:c r="G41" s="197"/>
      <x:c r="H41" s="197"/>
      <x:c r="I41" s="197"/>
      <x:c r="J41" s="197"/>
      <x:c r="K41" s="197"/>
      <x:c r="L41" s="197"/>
    </x:row>
    <x:row r="42" ht="28" customHeight="1">
      <x:c r="A42" s="197"/>
      <x:c r="B42" s="197"/>
      <x:c r="C42" s="197"/>
      <x:c r="D42" s="197"/>
      <x:c r="E42" s="197"/>
      <x:c r="F42" s="197"/>
      <x:c r="G42" s="197"/>
      <x:c r="H42" s="197"/>
      <x:c r="I42" s="197"/>
      <x:c r="J42" s="197"/>
      <x:c r="K42" s="197"/>
      <x:c r="L42" s="197"/>
    </x:row>
    <x:row r="43" ht="28" customHeight="1">
      <x:c r="A43" s="397" t="str">
        <x:v>重要：本試作は比較と理解を支援する概算モデルです。税引前は物件条件、税引後は建物価格・所得・控除・所有期間の入力に依存します。家賃・空室・金利・売却価格は将来予測ではありません。契約書、管理規約、長期修繕計画、融資条件、税理士等の確認を優先してください。</x:v>
      </x:c>
      <x:c r="B43" s="398"/>
      <x:c r="C43" s="398"/>
      <x:c r="D43" s="398"/>
      <x:c r="E43" s="398"/>
      <x:c r="F43" s="399"/>
      <x:c r="G43" s="197"/>
      <x:c r="H43" s="197"/>
      <x:c r="I43" s="197"/>
      <x:c r="J43" s="197"/>
      <x:c r="K43" s="197"/>
      <x:c r="L43" s="197"/>
    </x:row>
    <x:row r="44" ht="28" customHeight="1">
      <x:c r="A44" s="400"/>
      <x:c r="B44" s="401"/>
      <x:c r="C44" s="401"/>
      <x:c r="D44" s="401"/>
      <x:c r="E44" s="401"/>
      <x:c r="F44" s="402"/>
      <x:c r="G44" s="197"/>
      <x:c r="H44" s="197"/>
      <x:c r="I44" s="197"/>
      <x:c r="J44" s="197"/>
      <x:c r="K44" s="197"/>
      <x:c r="L44" s="197"/>
    </x:row>
    <x:row r="45" ht="28" customHeight="1">
      <x:c r="A45" s="400"/>
      <x:c r="B45" s="401"/>
      <x:c r="C45" s="401"/>
      <x:c r="D45" s="401"/>
      <x:c r="E45" s="401"/>
      <x:c r="F45" s="402"/>
      <x:c r="G45" s="197"/>
      <x:c r="H45" s="197"/>
      <x:c r="I45" s="197"/>
      <x:c r="J45" s="197"/>
      <x:c r="K45" s="197"/>
      <x:c r="L45" s="197"/>
    </x:row>
    <x:row r="46" ht="28" customHeight="1">
      <x:c r="A46" s="400"/>
      <x:c r="B46" s="401"/>
      <x:c r="C46" s="401"/>
      <x:c r="D46" s="401"/>
      <x:c r="E46" s="401"/>
      <x:c r="F46" s="402"/>
      <x:c r="G46" s="197"/>
      <x:c r="H46" s="197"/>
      <x:c r="I46" s="197"/>
      <x:c r="J46" s="197"/>
      <x:c r="K46" s="197"/>
      <x:c r="L46" s="197"/>
    </x:row>
    <x:row r="47" ht="28" customHeight="1">
      <x:c r="A47" s="403"/>
      <x:c r="B47" s="404"/>
      <x:c r="C47" s="404"/>
      <x:c r="D47" s="404"/>
      <x:c r="E47" s="404"/>
      <x:c r="F47" s="405"/>
      <x:c r="G47" s="197"/>
      <x:c r="H47" s="197"/>
      <x:c r="I47" s="197"/>
      <x:c r="J47" s="197"/>
      <x:c r="K47" s="197"/>
      <x:c r="L47" s="197"/>
    </x:row>
  </x:sheetData>
  <x:mergeCells>
    <x:mergeCell ref="A1:A2"/>
    <x:mergeCell ref="B1:F2"/>
    <x:mergeCell ref="A3:F3"/>
    <x:mergeCell ref="A5:F5"/>
    <x:mergeCell ref="A14:F14"/>
    <x:mergeCell ref="A21:F21"/>
    <x:mergeCell ref="A30:F30"/>
    <x:mergeCell ref="A43:F47"/>
    <x:mergeCell ref="A20:F20"/>
  </x:mergeCells>
  <x:conditionalFormatting sqref="E23:E27">
    <x:cfRule type="containsText" dxfId="1" priority="1" operator="containsText" text="OK"/>
    <x:cfRule type="containsText" dxfId="2" priority="2" operator="containsText" text="要確認"/>
  </x:conditionalFormatting>
  <x:conditionalFormatting sqref="E23:E28">
    <x:cfRule type="containsText" dxfId="4" priority="3" operator="containsText" text="OK"/>
    <x:cfRule type="containsText" dxfId="5" priority="4" operator="containsText" text="要確認"/>
    <x:cfRule type="containsText" dxfId="6" priority="5" operator="containsText" text="保留"/>
  </x:conditionalFormatting>
  <x:pageMargins left="0.7" right="0.7" top="0.75" bottom="0.75" header="0.3" footer="0.3"/>
</x:worksheet>
</file>